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8496"/>
  </bookViews>
  <sheets>
    <sheet name="FORM EV.RKPD YG DIISI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'FORM EV.RKPD YG DIISI'!$A$16:$U$222</definedName>
    <definedName name="_xlnm.Print_Area" localSheetId="0">'FORM EV.RKPD YG DIISI'!$A$2:$W$222</definedName>
    <definedName name="SingkatSKPA" localSheetId="0">'[3]Nama SKPD'!#REF!</definedName>
    <definedName name="SingkatSKPA">'[3]Nama SKPD'!#REF!</definedName>
  </definedNames>
  <calcPr calcId="144525"/>
</workbook>
</file>

<file path=xl/calcChain.xml><?xml version="1.0" encoding="utf-8"?>
<calcChain xmlns="http://schemas.openxmlformats.org/spreadsheetml/2006/main">
  <c r="W220" i="1" l="1"/>
  <c r="V220" i="1"/>
  <c r="Q220" i="1"/>
  <c r="P220" i="1"/>
  <c r="R220" i="1" s="1"/>
  <c r="M220" i="1"/>
  <c r="F220" i="1"/>
  <c r="W219" i="1"/>
  <c r="V219" i="1"/>
  <c r="Q219" i="1"/>
  <c r="P219" i="1"/>
  <c r="M219" i="1"/>
  <c r="F219" i="1"/>
  <c r="W218" i="1"/>
  <c r="V218" i="1"/>
  <c r="Q218" i="1"/>
  <c r="P218" i="1"/>
  <c r="R218" i="1" s="1"/>
  <c r="M218" i="1"/>
  <c r="J218" i="1"/>
  <c r="F218" i="1"/>
  <c r="W217" i="1"/>
  <c r="V217" i="1"/>
  <c r="Q217" i="1"/>
  <c r="P217" i="1"/>
  <c r="R217" i="1" s="1"/>
  <c r="M217" i="1"/>
  <c r="J217" i="1"/>
  <c r="F217" i="1"/>
  <c r="U216" i="1"/>
  <c r="P216" i="1"/>
  <c r="J216" i="1"/>
  <c r="W213" i="1"/>
  <c r="V213" i="1"/>
  <c r="Q213" i="1"/>
  <c r="Q211" i="1" s="1"/>
  <c r="P213" i="1"/>
  <c r="M213" i="1"/>
  <c r="J213" i="1"/>
  <c r="F213" i="1"/>
  <c r="P212" i="1"/>
  <c r="R212" i="1" s="1"/>
  <c r="M212" i="1"/>
  <c r="J212" i="1"/>
  <c r="F212" i="1"/>
  <c r="U211" i="1"/>
  <c r="P211" i="1"/>
  <c r="J211" i="1"/>
  <c r="W208" i="1"/>
  <c r="V208" i="1"/>
  <c r="Q208" i="1"/>
  <c r="P208" i="1"/>
  <c r="M208" i="1"/>
  <c r="J208" i="1"/>
  <c r="F208" i="1"/>
  <c r="W207" i="1"/>
  <c r="V207" i="1"/>
  <c r="Q207" i="1"/>
  <c r="P207" i="1"/>
  <c r="R207" i="1" s="1"/>
  <c r="M207" i="1"/>
  <c r="J207" i="1"/>
  <c r="F207" i="1"/>
  <c r="W206" i="1"/>
  <c r="V206" i="1"/>
  <c r="Q206" i="1"/>
  <c r="R206" i="1" s="1"/>
  <c r="P206" i="1"/>
  <c r="M206" i="1"/>
  <c r="J206" i="1"/>
  <c r="F206" i="1"/>
  <c r="W205" i="1"/>
  <c r="V205" i="1"/>
  <c r="Q205" i="1"/>
  <c r="P205" i="1"/>
  <c r="R205" i="1" s="1"/>
  <c r="M205" i="1"/>
  <c r="J205" i="1"/>
  <c r="F205" i="1"/>
  <c r="W204" i="1"/>
  <c r="V204" i="1"/>
  <c r="Q204" i="1"/>
  <c r="P204" i="1"/>
  <c r="R204" i="1" s="1"/>
  <c r="M204" i="1"/>
  <c r="J204" i="1"/>
  <c r="F204" i="1"/>
  <c r="W203" i="1"/>
  <c r="V203" i="1"/>
  <c r="Q203" i="1"/>
  <c r="P203" i="1"/>
  <c r="M203" i="1"/>
  <c r="J203" i="1"/>
  <c r="F203" i="1"/>
  <c r="U202" i="1"/>
  <c r="P202" i="1"/>
  <c r="J202" i="1"/>
  <c r="W199" i="1"/>
  <c r="V199" i="1"/>
  <c r="Q199" i="1"/>
  <c r="R199" i="1" s="1"/>
  <c r="W198" i="1"/>
  <c r="V198" i="1"/>
  <c r="Q198" i="1"/>
  <c r="P198" i="1"/>
  <c r="R198" i="1" s="1"/>
  <c r="W197" i="1"/>
  <c r="V197" i="1"/>
  <c r="Q197" i="1"/>
  <c r="P197" i="1"/>
  <c r="M197" i="1"/>
  <c r="J197" i="1"/>
  <c r="F197" i="1"/>
  <c r="W196" i="1"/>
  <c r="V196" i="1"/>
  <c r="Q196" i="1"/>
  <c r="P196" i="1"/>
  <c r="R196" i="1" s="1"/>
  <c r="M196" i="1"/>
  <c r="J196" i="1"/>
  <c r="F196" i="1"/>
  <c r="W195" i="1"/>
  <c r="V195" i="1"/>
  <c r="Q195" i="1"/>
  <c r="P195" i="1"/>
  <c r="M195" i="1"/>
  <c r="J195" i="1"/>
  <c r="F195" i="1"/>
  <c r="W194" i="1"/>
  <c r="V194" i="1"/>
  <c r="Q194" i="1"/>
  <c r="P194" i="1"/>
  <c r="R194" i="1" s="1"/>
  <c r="M194" i="1"/>
  <c r="J194" i="1"/>
  <c r="F194" i="1"/>
  <c r="V193" i="1"/>
  <c r="Q193" i="1"/>
  <c r="P193" i="1"/>
  <c r="R193" i="1" s="1"/>
  <c r="M193" i="1"/>
  <c r="J193" i="1"/>
  <c r="F193" i="1"/>
  <c r="U192" i="1"/>
  <c r="Q192" i="1"/>
  <c r="M192" i="1"/>
  <c r="W189" i="1"/>
  <c r="W193" i="1" s="1"/>
  <c r="V189" i="1"/>
  <c r="Q189" i="1"/>
  <c r="R189" i="1" s="1"/>
  <c r="W188" i="1"/>
  <c r="V188" i="1"/>
  <c r="Q188" i="1"/>
  <c r="R188" i="1" s="1"/>
  <c r="W187" i="1"/>
  <c r="V187" i="1"/>
  <c r="Q187" i="1"/>
  <c r="R187" i="1" s="1"/>
  <c r="W186" i="1"/>
  <c r="V186" i="1"/>
  <c r="Q186" i="1"/>
  <c r="R186" i="1" s="1"/>
  <c r="W185" i="1"/>
  <c r="V185" i="1"/>
  <c r="Q185" i="1"/>
  <c r="P185" i="1"/>
  <c r="R185" i="1" s="1"/>
  <c r="M185" i="1"/>
  <c r="J185" i="1"/>
  <c r="F185" i="1"/>
  <c r="W184" i="1"/>
  <c r="V184" i="1"/>
  <c r="Q184" i="1"/>
  <c r="P184" i="1"/>
  <c r="M184" i="1"/>
  <c r="J184" i="1"/>
  <c r="F184" i="1"/>
  <c r="W183" i="1"/>
  <c r="V183" i="1"/>
  <c r="Q183" i="1"/>
  <c r="P183" i="1"/>
  <c r="R183" i="1" s="1"/>
  <c r="M183" i="1"/>
  <c r="J183" i="1"/>
  <c r="F183" i="1"/>
  <c r="W182" i="1"/>
  <c r="V182" i="1"/>
  <c r="Q182" i="1"/>
  <c r="P182" i="1"/>
  <c r="R182" i="1" s="1"/>
  <c r="M182" i="1"/>
  <c r="J182" i="1"/>
  <c r="F182" i="1"/>
  <c r="W181" i="1"/>
  <c r="V181" i="1"/>
  <c r="Q181" i="1"/>
  <c r="P181" i="1"/>
  <c r="R181" i="1" s="1"/>
  <c r="M181" i="1"/>
  <c r="J181" i="1"/>
  <c r="J179" i="1" s="1"/>
  <c r="F181" i="1"/>
  <c r="W180" i="1"/>
  <c r="V180" i="1"/>
  <c r="Q180" i="1"/>
  <c r="R180" i="1" s="1"/>
  <c r="P180" i="1"/>
  <c r="M180" i="1"/>
  <c r="J180" i="1"/>
  <c r="F180" i="1"/>
  <c r="U179" i="1"/>
  <c r="M179" i="1"/>
  <c r="R176" i="1"/>
  <c r="M176" i="1"/>
  <c r="W175" i="1"/>
  <c r="V175" i="1"/>
  <c r="R175" i="1"/>
  <c r="Q175" i="1"/>
  <c r="P175" i="1"/>
  <c r="M175" i="1"/>
  <c r="J175" i="1"/>
  <c r="F175" i="1"/>
  <c r="W174" i="1"/>
  <c r="V174" i="1"/>
  <c r="Q174" i="1"/>
  <c r="P174" i="1"/>
  <c r="M174" i="1"/>
  <c r="J174" i="1"/>
  <c r="F174" i="1"/>
  <c r="W173" i="1"/>
  <c r="V173" i="1"/>
  <c r="Q173" i="1"/>
  <c r="P173" i="1"/>
  <c r="R173" i="1" s="1"/>
  <c r="M173" i="1"/>
  <c r="J173" i="1"/>
  <c r="F173" i="1"/>
  <c r="W172" i="1"/>
  <c r="V172" i="1"/>
  <c r="Q172" i="1"/>
  <c r="P172" i="1"/>
  <c r="R172" i="1" s="1"/>
  <c r="M172" i="1"/>
  <c r="J172" i="1"/>
  <c r="F172" i="1"/>
  <c r="W171" i="1"/>
  <c r="V171" i="1"/>
  <c r="Q171" i="1"/>
  <c r="P171" i="1"/>
  <c r="M171" i="1"/>
  <c r="J171" i="1"/>
  <c r="F171" i="1"/>
  <c r="W170" i="1"/>
  <c r="V170" i="1"/>
  <c r="R170" i="1"/>
  <c r="Q170" i="1"/>
  <c r="P170" i="1"/>
  <c r="M170" i="1"/>
  <c r="J170" i="1"/>
  <c r="F170" i="1"/>
  <c r="U169" i="1"/>
  <c r="J169" i="1"/>
  <c r="W166" i="1"/>
  <c r="V166" i="1"/>
  <c r="Q166" i="1"/>
  <c r="P166" i="1"/>
  <c r="M166" i="1"/>
  <c r="F166" i="1"/>
  <c r="W165" i="1"/>
  <c r="V165" i="1"/>
  <c r="Q165" i="1"/>
  <c r="P165" i="1"/>
  <c r="M165" i="1"/>
  <c r="J165" i="1"/>
  <c r="F165" i="1"/>
  <c r="W164" i="1"/>
  <c r="V164" i="1"/>
  <c r="Q164" i="1"/>
  <c r="R164" i="1" s="1"/>
  <c r="M164" i="1"/>
  <c r="J164" i="1"/>
  <c r="F164" i="1"/>
  <c r="W163" i="1"/>
  <c r="V163" i="1"/>
  <c r="Q163" i="1"/>
  <c r="P163" i="1"/>
  <c r="R163" i="1" s="1"/>
  <c r="M163" i="1"/>
  <c r="J163" i="1"/>
  <c r="F163" i="1"/>
  <c r="W162" i="1"/>
  <c r="V162" i="1"/>
  <c r="Q162" i="1"/>
  <c r="P162" i="1"/>
  <c r="R162" i="1" s="1"/>
  <c r="M162" i="1"/>
  <c r="J162" i="1"/>
  <c r="F162" i="1"/>
  <c r="W161" i="1"/>
  <c r="V161" i="1"/>
  <c r="Q161" i="1"/>
  <c r="R161" i="1" s="1"/>
  <c r="W160" i="1"/>
  <c r="V160" i="1"/>
  <c r="Q160" i="1"/>
  <c r="R160" i="1" s="1"/>
  <c r="P160" i="1"/>
  <c r="M160" i="1"/>
  <c r="J160" i="1"/>
  <c r="F160" i="1"/>
  <c r="W159" i="1"/>
  <c r="V159" i="1"/>
  <c r="Q159" i="1"/>
  <c r="P159" i="1"/>
  <c r="R159" i="1" s="1"/>
  <c r="M159" i="1"/>
  <c r="J159" i="1"/>
  <c r="F159" i="1"/>
  <c r="W158" i="1"/>
  <c r="V158" i="1"/>
  <c r="Q158" i="1"/>
  <c r="P158" i="1"/>
  <c r="R158" i="1" s="1"/>
  <c r="M158" i="1"/>
  <c r="J158" i="1"/>
  <c r="F158" i="1"/>
  <c r="U157" i="1"/>
  <c r="J157" i="1"/>
  <c r="W154" i="1"/>
  <c r="V154" i="1"/>
  <c r="Q154" i="1"/>
  <c r="R154" i="1" s="1"/>
  <c r="P154" i="1"/>
  <c r="M154" i="1"/>
  <c r="J154" i="1"/>
  <c r="F154" i="1"/>
  <c r="P153" i="1"/>
  <c r="R153" i="1" s="1"/>
  <c r="M153" i="1"/>
  <c r="J153" i="1"/>
  <c r="F153" i="1"/>
  <c r="W152" i="1"/>
  <c r="V152" i="1"/>
  <c r="Q152" i="1"/>
  <c r="P152" i="1"/>
  <c r="M152" i="1"/>
  <c r="J152" i="1"/>
  <c r="F152" i="1"/>
  <c r="W151" i="1"/>
  <c r="V151" i="1"/>
  <c r="Q151" i="1"/>
  <c r="P151" i="1"/>
  <c r="R151" i="1" s="1"/>
  <c r="M151" i="1"/>
  <c r="J151" i="1"/>
  <c r="J150" i="1" s="1"/>
  <c r="U150" i="1"/>
  <c r="Q150" i="1"/>
  <c r="M150" i="1"/>
  <c r="V147" i="1"/>
  <c r="Q147" i="1"/>
  <c r="P147" i="1"/>
  <c r="R147" i="1" s="1"/>
  <c r="M147" i="1"/>
  <c r="J147" i="1"/>
  <c r="F147" i="1"/>
  <c r="U146" i="1"/>
  <c r="Q146" i="1"/>
  <c r="P146" i="1"/>
  <c r="R146" i="1" s="1"/>
  <c r="M146" i="1"/>
  <c r="J146" i="1"/>
  <c r="W143" i="1"/>
  <c r="W147" i="1" s="1"/>
  <c r="V143" i="1"/>
  <c r="Q143" i="1"/>
  <c r="P143" i="1"/>
  <c r="R143" i="1" s="1"/>
  <c r="M143" i="1"/>
  <c r="M142" i="1" s="1"/>
  <c r="J143" i="1"/>
  <c r="F143" i="1"/>
  <c r="U142" i="1"/>
  <c r="Q142" i="1"/>
  <c r="P142" i="1"/>
  <c r="R142" i="1" s="1"/>
  <c r="J142" i="1"/>
  <c r="W139" i="1"/>
  <c r="V139" i="1"/>
  <c r="Q139" i="1"/>
  <c r="P139" i="1"/>
  <c r="R139" i="1" s="1"/>
  <c r="M139" i="1"/>
  <c r="J139" i="1"/>
  <c r="F139" i="1"/>
  <c r="W138" i="1"/>
  <c r="V138" i="1"/>
  <c r="Q138" i="1"/>
  <c r="P138" i="1"/>
  <c r="M138" i="1"/>
  <c r="J138" i="1"/>
  <c r="F138" i="1"/>
  <c r="U137" i="1"/>
  <c r="P137" i="1"/>
  <c r="J137" i="1"/>
  <c r="P134" i="1"/>
  <c r="R134" i="1" s="1"/>
  <c r="M134" i="1"/>
  <c r="J134" i="1"/>
  <c r="F134" i="1"/>
  <c r="W133" i="1"/>
  <c r="V133" i="1"/>
  <c r="Q133" i="1"/>
  <c r="R133" i="1" s="1"/>
  <c r="W132" i="1"/>
  <c r="V132" i="1"/>
  <c r="Q132" i="1"/>
  <c r="P132" i="1"/>
  <c r="R132" i="1" s="1"/>
  <c r="M132" i="1"/>
  <c r="J132" i="1"/>
  <c r="F132" i="1"/>
  <c r="W131" i="1"/>
  <c r="V131" i="1"/>
  <c r="Q131" i="1"/>
  <c r="P131" i="1"/>
  <c r="R131" i="1" s="1"/>
  <c r="M131" i="1"/>
  <c r="J131" i="1"/>
  <c r="F131" i="1"/>
  <c r="W130" i="1"/>
  <c r="V130" i="1"/>
  <c r="Q130" i="1"/>
  <c r="P130" i="1"/>
  <c r="M130" i="1"/>
  <c r="J130" i="1"/>
  <c r="F130" i="1"/>
  <c r="W129" i="1"/>
  <c r="V129" i="1"/>
  <c r="Q129" i="1"/>
  <c r="P129" i="1"/>
  <c r="R129" i="1" s="1"/>
  <c r="M129" i="1"/>
  <c r="J129" i="1"/>
  <c r="F129" i="1"/>
  <c r="W128" i="1"/>
  <c r="V128" i="1"/>
  <c r="Q128" i="1"/>
  <c r="P128" i="1"/>
  <c r="M128" i="1"/>
  <c r="J128" i="1"/>
  <c r="F128" i="1"/>
  <c r="W127" i="1"/>
  <c r="V127" i="1"/>
  <c r="Q127" i="1"/>
  <c r="P127" i="1"/>
  <c r="R127" i="1" s="1"/>
  <c r="M127" i="1"/>
  <c r="J127" i="1"/>
  <c r="F127" i="1"/>
  <c r="W126" i="1"/>
  <c r="V126" i="1"/>
  <c r="Q126" i="1"/>
  <c r="R126" i="1" s="1"/>
  <c r="P126" i="1"/>
  <c r="M126" i="1"/>
  <c r="J126" i="1"/>
  <c r="F126" i="1"/>
  <c r="U125" i="1"/>
  <c r="Q125" i="1"/>
  <c r="M125" i="1"/>
  <c r="W122" i="1"/>
  <c r="V122" i="1"/>
  <c r="R122" i="1"/>
  <c r="Q122" i="1"/>
  <c r="W121" i="1"/>
  <c r="V121" i="1"/>
  <c r="R121" i="1"/>
  <c r="Q121" i="1"/>
  <c r="Q120" i="1"/>
  <c r="M120" i="1"/>
  <c r="V117" i="1"/>
  <c r="Q117" i="1"/>
  <c r="R117" i="1" s="1"/>
  <c r="W116" i="1"/>
  <c r="W117" i="1" s="1"/>
  <c r="V116" i="1"/>
  <c r="Q116" i="1"/>
  <c r="R116" i="1" s="1"/>
  <c r="P115" i="1"/>
  <c r="R115" i="1" s="1"/>
  <c r="W114" i="1"/>
  <c r="V114" i="1"/>
  <c r="Q114" i="1"/>
  <c r="P114" i="1"/>
  <c r="R114" i="1" s="1"/>
  <c r="M114" i="1"/>
  <c r="J114" i="1"/>
  <c r="F114" i="1"/>
  <c r="W113" i="1"/>
  <c r="V113" i="1"/>
  <c r="Q113" i="1"/>
  <c r="P113" i="1"/>
  <c r="R113" i="1" s="1"/>
  <c r="M113" i="1"/>
  <c r="J113" i="1"/>
  <c r="W112" i="1"/>
  <c r="V112" i="1"/>
  <c r="R112" i="1"/>
  <c r="Q112" i="1"/>
  <c r="P112" i="1"/>
  <c r="M112" i="1"/>
  <c r="J112" i="1"/>
  <c r="F112" i="1"/>
  <c r="W111" i="1"/>
  <c r="V111" i="1"/>
  <c r="Q111" i="1"/>
  <c r="R111" i="1" s="1"/>
  <c r="P111" i="1"/>
  <c r="M111" i="1"/>
  <c r="J111" i="1"/>
  <c r="F111" i="1"/>
  <c r="U110" i="1"/>
  <c r="Q110" i="1"/>
  <c r="M110" i="1"/>
  <c r="W107" i="1"/>
  <c r="V107" i="1"/>
  <c r="Q107" i="1"/>
  <c r="P107" i="1"/>
  <c r="R107" i="1" s="1"/>
  <c r="M107" i="1"/>
  <c r="J107" i="1"/>
  <c r="F107" i="1"/>
  <c r="W106" i="1"/>
  <c r="V106" i="1"/>
  <c r="Q106" i="1"/>
  <c r="R106" i="1" s="1"/>
  <c r="P105" i="1"/>
  <c r="R105" i="1" s="1"/>
  <c r="M105" i="1"/>
  <c r="J105" i="1"/>
  <c r="F105" i="1"/>
  <c r="W104" i="1"/>
  <c r="V104" i="1"/>
  <c r="Q104" i="1"/>
  <c r="P104" i="1"/>
  <c r="R104" i="1" s="1"/>
  <c r="M104" i="1"/>
  <c r="J104" i="1"/>
  <c r="F104" i="1"/>
  <c r="W103" i="1"/>
  <c r="V103" i="1"/>
  <c r="Q103" i="1"/>
  <c r="P103" i="1"/>
  <c r="M103" i="1"/>
  <c r="J103" i="1"/>
  <c r="F103" i="1"/>
  <c r="U102" i="1"/>
  <c r="Q102" i="1"/>
  <c r="M102" i="1"/>
  <c r="W99" i="1"/>
  <c r="V99" i="1"/>
  <c r="Q99" i="1"/>
  <c r="P99" i="1"/>
  <c r="R99" i="1" s="1"/>
  <c r="F99" i="1"/>
  <c r="Q98" i="1"/>
  <c r="M98" i="1"/>
  <c r="K98" i="1"/>
  <c r="J98" i="1"/>
  <c r="H98" i="1"/>
  <c r="W95" i="1"/>
  <c r="V95" i="1"/>
  <c r="Q95" i="1"/>
  <c r="R95" i="1" s="1"/>
  <c r="P95" i="1"/>
  <c r="M95" i="1"/>
  <c r="J95" i="1"/>
  <c r="J94" i="1" s="1"/>
  <c r="F95" i="1"/>
  <c r="U94" i="1"/>
  <c r="P94" i="1"/>
  <c r="M94" i="1"/>
  <c r="W91" i="1"/>
  <c r="V91" i="1"/>
  <c r="R91" i="1"/>
  <c r="Q91" i="1"/>
  <c r="P91" i="1"/>
  <c r="M91" i="1"/>
  <c r="F91" i="1"/>
  <c r="W90" i="1"/>
  <c r="V90" i="1"/>
  <c r="Q90" i="1"/>
  <c r="R90" i="1" s="1"/>
  <c r="P90" i="1"/>
  <c r="M90" i="1"/>
  <c r="J90" i="1"/>
  <c r="F90" i="1"/>
  <c r="W89" i="1"/>
  <c r="V89" i="1"/>
  <c r="Q89" i="1"/>
  <c r="R89" i="1" s="1"/>
  <c r="P89" i="1"/>
  <c r="M89" i="1"/>
  <c r="J89" i="1"/>
  <c r="F89" i="1"/>
  <c r="W88" i="1"/>
  <c r="V88" i="1"/>
  <c r="Q88" i="1"/>
  <c r="P88" i="1"/>
  <c r="R88" i="1" s="1"/>
  <c r="M88" i="1"/>
  <c r="J88" i="1"/>
  <c r="F88" i="1"/>
  <c r="U87" i="1"/>
  <c r="Q87" i="1"/>
  <c r="M87" i="1"/>
  <c r="W84" i="1"/>
  <c r="V84" i="1"/>
  <c r="Q84" i="1"/>
  <c r="P84" i="1"/>
  <c r="R84" i="1" s="1"/>
  <c r="M84" i="1"/>
  <c r="J84" i="1"/>
  <c r="F84" i="1"/>
  <c r="W83" i="1"/>
  <c r="V83" i="1"/>
  <c r="R83" i="1"/>
  <c r="Q83" i="1"/>
  <c r="P83" i="1"/>
  <c r="M83" i="1"/>
  <c r="J83" i="1"/>
  <c r="F83" i="1"/>
  <c r="W82" i="1"/>
  <c r="V82" i="1"/>
  <c r="Q82" i="1"/>
  <c r="R82" i="1" s="1"/>
  <c r="P82" i="1"/>
  <c r="M82" i="1"/>
  <c r="J82" i="1"/>
  <c r="F82" i="1"/>
  <c r="W81" i="1"/>
  <c r="V81" i="1"/>
  <c r="Q81" i="1"/>
  <c r="R81" i="1" s="1"/>
  <c r="P81" i="1"/>
  <c r="M81" i="1"/>
  <c r="J81" i="1"/>
  <c r="F81" i="1"/>
  <c r="W80" i="1"/>
  <c r="V80" i="1"/>
  <c r="Q80" i="1"/>
  <c r="P80" i="1"/>
  <c r="R80" i="1" s="1"/>
  <c r="M80" i="1"/>
  <c r="J80" i="1"/>
  <c r="F80" i="1"/>
  <c r="W79" i="1"/>
  <c r="V79" i="1"/>
  <c r="Q79" i="1"/>
  <c r="P79" i="1"/>
  <c r="R79" i="1" s="1"/>
  <c r="M79" i="1"/>
  <c r="J79" i="1"/>
  <c r="F79" i="1"/>
  <c r="U78" i="1"/>
  <c r="P78" i="1"/>
  <c r="J78" i="1"/>
  <c r="W75" i="1"/>
  <c r="V75" i="1"/>
  <c r="Q75" i="1"/>
  <c r="P75" i="1"/>
  <c r="R75" i="1" s="1"/>
  <c r="M75" i="1"/>
  <c r="J75" i="1"/>
  <c r="J74" i="1" s="1"/>
  <c r="F75" i="1"/>
  <c r="U74" i="1"/>
  <c r="Q74" i="1"/>
  <c r="P74" i="1"/>
  <c r="R74" i="1" s="1"/>
  <c r="M74" i="1"/>
  <c r="W71" i="1"/>
  <c r="V71" i="1"/>
  <c r="Q71" i="1"/>
  <c r="R71" i="1" s="1"/>
  <c r="W70" i="1"/>
  <c r="V70" i="1"/>
  <c r="Q70" i="1"/>
  <c r="P70" i="1"/>
  <c r="R70" i="1" s="1"/>
  <c r="M70" i="1"/>
  <c r="J70" i="1"/>
  <c r="F70" i="1"/>
  <c r="W69" i="1"/>
  <c r="V69" i="1"/>
  <c r="Q69" i="1"/>
  <c r="P69" i="1"/>
  <c r="R69" i="1" s="1"/>
  <c r="M69" i="1"/>
  <c r="J69" i="1"/>
  <c r="F69" i="1"/>
  <c r="W68" i="1"/>
  <c r="V68" i="1"/>
  <c r="Q68" i="1"/>
  <c r="P68" i="1"/>
  <c r="R68" i="1" s="1"/>
  <c r="M68" i="1"/>
  <c r="J68" i="1"/>
  <c r="F68" i="1"/>
  <c r="W67" i="1"/>
  <c r="V67" i="1"/>
  <c r="Q67" i="1"/>
  <c r="P67" i="1"/>
  <c r="R67" i="1" s="1"/>
  <c r="M67" i="1"/>
  <c r="J67" i="1"/>
  <c r="F67" i="1"/>
  <c r="W66" i="1"/>
  <c r="V66" i="1"/>
  <c r="Q66" i="1"/>
  <c r="P66" i="1"/>
  <c r="R66" i="1" s="1"/>
  <c r="N66" i="1"/>
  <c r="M66" i="1"/>
  <c r="J66" i="1"/>
  <c r="F66" i="1"/>
  <c r="W65" i="1"/>
  <c r="V65" i="1"/>
  <c r="Q65" i="1"/>
  <c r="P65" i="1"/>
  <c r="M65" i="1"/>
  <c r="J65" i="1"/>
  <c r="F65" i="1"/>
  <c r="W64" i="1"/>
  <c r="V64" i="1"/>
  <c r="Q64" i="1"/>
  <c r="P64" i="1"/>
  <c r="R64" i="1" s="1"/>
  <c r="M64" i="1"/>
  <c r="J64" i="1"/>
  <c r="F64" i="1"/>
  <c r="U63" i="1"/>
  <c r="P63" i="1"/>
  <c r="J63" i="1"/>
  <c r="W60" i="1"/>
  <c r="V60" i="1"/>
  <c r="Q60" i="1"/>
  <c r="R60" i="1" s="1"/>
  <c r="P60" i="1"/>
  <c r="M60" i="1"/>
  <c r="J60" i="1"/>
  <c r="J59" i="1" s="1"/>
  <c r="F60" i="1"/>
  <c r="U59" i="1"/>
  <c r="P59" i="1"/>
  <c r="M59" i="1"/>
  <c r="W56" i="1"/>
  <c r="V56" i="1"/>
  <c r="Q56" i="1"/>
  <c r="Q55" i="1" s="1"/>
  <c r="P56" i="1"/>
  <c r="M56" i="1"/>
  <c r="J56" i="1"/>
  <c r="J55" i="1" s="1"/>
  <c r="F56" i="1"/>
  <c r="U55" i="1"/>
  <c r="P55" i="1"/>
  <c r="M55" i="1"/>
  <c r="P52" i="1"/>
  <c r="R52" i="1" s="1"/>
  <c r="R51" i="1"/>
  <c r="M51" i="1"/>
  <c r="J51" i="1"/>
  <c r="F51" i="1"/>
  <c r="W50" i="1"/>
  <c r="V50" i="1"/>
  <c r="Q50" i="1"/>
  <c r="P50" i="1"/>
  <c r="R50" i="1" s="1"/>
  <c r="M50" i="1"/>
  <c r="J50" i="1"/>
  <c r="F50" i="1"/>
  <c r="W49" i="1"/>
  <c r="V49" i="1"/>
  <c r="Q49" i="1"/>
  <c r="P49" i="1"/>
  <c r="M49" i="1"/>
  <c r="J49" i="1"/>
  <c r="F49" i="1"/>
  <c r="W48" i="1"/>
  <c r="V48" i="1"/>
  <c r="Q48" i="1"/>
  <c r="R48" i="1" s="1"/>
  <c r="W47" i="1"/>
  <c r="V47" i="1"/>
  <c r="Q47" i="1"/>
  <c r="P47" i="1"/>
  <c r="R47" i="1" s="1"/>
  <c r="M47" i="1"/>
  <c r="J47" i="1"/>
  <c r="F47" i="1"/>
  <c r="W46" i="1"/>
  <c r="V46" i="1"/>
  <c r="Q46" i="1"/>
  <c r="R46" i="1" s="1"/>
  <c r="P46" i="1"/>
  <c r="M46" i="1"/>
  <c r="J46" i="1"/>
  <c r="F46" i="1"/>
  <c r="W45" i="1"/>
  <c r="V45" i="1"/>
  <c r="Q45" i="1"/>
  <c r="P45" i="1"/>
  <c r="R45" i="1" s="1"/>
  <c r="M45" i="1"/>
  <c r="J45" i="1"/>
  <c r="F45" i="1"/>
  <c r="W44" i="1"/>
  <c r="V44" i="1"/>
  <c r="Q44" i="1"/>
  <c r="P44" i="1"/>
  <c r="M44" i="1"/>
  <c r="J44" i="1"/>
  <c r="F44" i="1"/>
  <c r="W43" i="1"/>
  <c r="V43" i="1"/>
  <c r="Q43" i="1"/>
  <c r="P43" i="1"/>
  <c r="R43" i="1" s="1"/>
  <c r="M43" i="1"/>
  <c r="J43" i="1"/>
  <c r="F43" i="1"/>
  <c r="W42" i="1"/>
  <c r="V42" i="1"/>
  <c r="Q42" i="1"/>
  <c r="P42" i="1"/>
  <c r="P40" i="1" s="1"/>
  <c r="M42" i="1"/>
  <c r="J42" i="1"/>
  <c r="J40" i="1" s="1"/>
  <c r="F42" i="1"/>
  <c r="W41" i="1"/>
  <c r="V41" i="1"/>
  <c r="Q41" i="1"/>
  <c r="R41" i="1" s="1"/>
  <c r="P41" i="1"/>
  <c r="M41" i="1"/>
  <c r="M40" i="1" s="1"/>
  <c r="J41" i="1"/>
  <c r="F41" i="1"/>
  <c r="U40" i="1"/>
  <c r="Q40" i="1"/>
  <c r="W37" i="1"/>
  <c r="V37" i="1"/>
  <c r="Q37" i="1"/>
  <c r="R37" i="1" s="1"/>
  <c r="P37" i="1"/>
  <c r="M37" i="1"/>
  <c r="J37" i="1"/>
  <c r="F37" i="1"/>
  <c r="W36" i="1"/>
  <c r="V36" i="1"/>
  <c r="Q36" i="1"/>
  <c r="P36" i="1"/>
  <c r="R36" i="1" s="1"/>
  <c r="F36" i="1"/>
  <c r="W35" i="1"/>
  <c r="V35" i="1"/>
  <c r="Q35" i="1"/>
  <c r="R35" i="1" s="1"/>
  <c r="P35" i="1"/>
  <c r="M35" i="1"/>
  <c r="J35" i="1"/>
  <c r="F35" i="1"/>
  <c r="W34" i="1"/>
  <c r="V34" i="1"/>
  <c r="Q34" i="1"/>
  <c r="P34" i="1"/>
  <c r="R34" i="1" s="1"/>
  <c r="M34" i="1"/>
  <c r="J34" i="1"/>
  <c r="F34" i="1"/>
  <c r="W33" i="1"/>
  <c r="V33" i="1"/>
  <c r="Q33" i="1"/>
  <c r="P33" i="1"/>
  <c r="M33" i="1"/>
  <c r="J33" i="1"/>
  <c r="F33" i="1"/>
  <c r="W32" i="1"/>
  <c r="V32" i="1"/>
  <c r="Q32" i="1"/>
  <c r="P32" i="1"/>
  <c r="R32" i="1" s="1"/>
  <c r="M32" i="1"/>
  <c r="J32" i="1"/>
  <c r="F32" i="1"/>
  <c r="W31" i="1"/>
  <c r="V31" i="1"/>
  <c r="Q31" i="1"/>
  <c r="P31" i="1"/>
  <c r="M31" i="1"/>
  <c r="J31" i="1"/>
  <c r="F31" i="1"/>
  <c r="W30" i="1"/>
  <c r="V30" i="1"/>
  <c r="Q30" i="1"/>
  <c r="P30" i="1"/>
  <c r="M30" i="1"/>
  <c r="J30" i="1"/>
  <c r="F30" i="1"/>
  <c r="W29" i="1"/>
  <c r="V29" i="1"/>
  <c r="Q29" i="1"/>
  <c r="P29" i="1"/>
  <c r="R29" i="1" s="1"/>
  <c r="M29" i="1"/>
  <c r="J29" i="1"/>
  <c r="F29" i="1"/>
  <c r="W28" i="1"/>
  <c r="V28" i="1"/>
  <c r="Q28" i="1"/>
  <c r="P28" i="1"/>
  <c r="R28" i="1" s="1"/>
  <c r="M28" i="1"/>
  <c r="J28" i="1"/>
  <c r="F28" i="1"/>
  <c r="W27" i="1"/>
  <c r="V27" i="1"/>
  <c r="Q27" i="1"/>
  <c r="R27" i="1" s="1"/>
  <c r="P27" i="1"/>
  <c r="M27" i="1"/>
  <c r="J27" i="1"/>
  <c r="F27" i="1"/>
  <c r="W26" i="1"/>
  <c r="V26" i="1"/>
  <c r="Q26" i="1"/>
  <c r="P26" i="1"/>
  <c r="R26" i="1" s="1"/>
  <c r="M26" i="1"/>
  <c r="J26" i="1"/>
  <c r="F26" i="1"/>
  <c r="W25" i="1"/>
  <c r="V25" i="1"/>
  <c r="Q25" i="1"/>
  <c r="P25" i="1"/>
  <c r="M25" i="1"/>
  <c r="J25" i="1"/>
  <c r="F25" i="1"/>
  <c r="W23" i="1"/>
  <c r="V23" i="1"/>
  <c r="Q23" i="1"/>
  <c r="P23" i="1"/>
  <c r="R23" i="1" s="1"/>
  <c r="M23" i="1"/>
  <c r="J23" i="1"/>
  <c r="F23" i="1"/>
  <c r="W22" i="1"/>
  <c r="V22" i="1"/>
  <c r="Q22" i="1"/>
  <c r="P22" i="1"/>
  <c r="R22" i="1" s="1"/>
  <c r="M22" i="1"/>
  <c r="J22" i="1"/>
  <c r="F22" i="1"/>
  <c r="R21" i="1"/>
  <c r="W20" i="1"/>
  <c r="V20" i="1"/>
  <c r="Q20" i="1"/>
  <c r="P20" i="1"/>
  <c r="R20" i="1" s="1"/>
  <c r="M20" i="1"/>
  <c r="J20" i="1"/>
  <c r="F20" i="1"/>
  <c r="U19" i="1"/>
  <c r="P19" i="1" l="1"/>
  <c r="M19" i="1"/>
  <c r="R25" i="1"/>
  <c r="R30" i="1"/>
  <c r="R31" i="1"/>
  <c r="R44" i="1"/>
  <c r="R49" i="1"/>
  <c r="R56" i="1"/>
  <c r="Q94" i="1"/>
  <c r="P110" i="1"/>
  <c r="R110" i="1" s="1"/>
  <c r="R128" i="1"/>
  <c r="M137" i="1"/>
  <c r="R152" i="1"/>
  <c r="R166" i="1"/>
  <c r="Q179" i="1"/>
  <c r="J192" i="1"/>
  <c r="M211" i="1"/>
  <c r="R40" i="1"/>
  <c r="M63" i="1"/>
  <c r="M78" i="1"/>
  <c r="P87" i="1"/>
  <c r="R87" i="1" s="1"/>
  <c r="R103" i="1"/>
  <c r="M157" i="1"/>
  <c r="R171" i="1"/>
  <c r="R174" i="1"/>
  <c r="R184" i="1"/>
  <c r="M202" i="1"/>
  <c r="R213" i="1"/>
  <c r="M216" i="1"/>
  <c r="Q19" i="1"/>
  <c r="R33" i="1"/>
  <c r="R19" i="1" s="1"/>
  <c r="R55" i="1"/>
  <c r="J102" i="1"/>
  <c r="J110" i="1"/>
  <c r="R130" i="1"/>
  <c r="R138" i="1"/>
  <c r="R137" i="1" s="1"/>
  <c r="Q137" i="1"/>
  <c r="R165" i="1"/>
  <c r="P192" i="1"/>
  <c r="R192" i="1" s="1"/>
  <c r="R211" i="1"/>
  <c r="J19" i="1"/>
  <c r="R42" i="1"/>
  <c r="Q59" i="1"/>
  <c r="R59" i="1" s="1"/>
  <c r="R65" i="1"/>
  <c r="Q78" i="1"/>
  <c r="J87" i="1"/>
  <c r="R94" i="1"/>
  <c r="J125" i="1"/>
  <c r="M169" i="1"/>
  <c r="R195" i="1"/>
  <c r="R197" i="1"/>
  <c r="R203" i="1"/>
  <c r="Q202" i="1"/>
  <c r="R202" i="1" s="1"/>
  <c r="R208" i="1"/>
  <c r="R219" i="1"/>
  <c r="R78" i="1"/>
  <c r="Q63" i="1"/>
  <c r="R63" i="1" s="1"/>
  <c r="P98" i="1"/>
  <c r="R98" i="1" s="1"/>
  <c r="P102" i="1"/>
  <c r="R102" i="1" s="1"/>
  <c r="P125" i="1"/>
  <c r="R125" i="1" s="1"/>
  <c r="Q157" i="1"/>
  <c r="Q169" i="1"/>
  <c r="P179" i="1"/>
  <c r="R179" i="1" s="1"/>
  <c r="P150" i="1"/>
  <c r="R150" i="1" s="1"/>
  <c r="Q216" i="1"/>
  <c r="R216" i="1" s="1"/>
  <c r="P157" i="1"/>
  <c r="R157" i="1" s="1"/>
  <c r="P169" i="1"/>
  <c r="R169" i="1" s="1"/>
  <c r="R120" i="1" l="1"/>
  <c r="P120" i="1"/>
  <c r="J120" i="1"/>
  <c r="U120" i="1"/>
</calcChain>
</file>

<file path=xl/comments1.xml><?xml version="1.0" encoding="utf-8"?>
<comments xmlns="http://schemas.openxmlformats.org/spreadsheetml/2006/main">
  <authors>
    <author>ADPEM_01</author>
  </authors>
  <commentList>
    <comment ref="F67" authorId="0">
      <text>
        <r>
          <rPr>
            <b/>
            <sz val="9"/>
            <color indexed="81"/>
            <rFont val="Tahoma"/>
            <family val="2"/>
          </rPr>
          <t>ADPEM_01:</t>
        </r>
        <r>
          <rPr>
            <sz val="9"/>
            <color indexed="81"/>
            <rFont val="Tahoma"/>
            <family val="2"/>
          </rPr>
          <t xml:space="preserve">
di renja msk prgm penataan daerah otonomi baru
</t>
        </r>
      </text>
    </comment>
    <comment ref="F68" authorId="0">
      <text>
        <r>
          <rPr>
            <b/>
            <sz val="9"/>
            <color indexed="81"/>
            <rFont val="Tahoma"/>
            <family val="2"/>
          </rPr>
          <t>ADPEM_01:</t>
        </r>
        <r>
          <rPr>
            <sz val="9"/>
            <color indexed="81"/>
            <rFont val="Tahoma"/>
            <family val="2"/>
          </rPr>
          <t xml:space="preserve">
di renja msk prgm penataan daerah otonomi baru
</t>
        </r>
      </text>
    </comment>
  </commentList>
</comments>
</file>

<file path=xl/sharedStrings.xml><?xml version="1.0" encoding="utf-8"?>
<sst xmlns="http://schemas.openxmlformats.org/spreadsheetml/2006/main" count="835" uniqueCount="237">
  <si>
    <t>FORMULIR EVALUASI HASIL RKPD KABUPATEN LAMANDAU</t>
  </si>
  <si>
    <t>SAMPAI DENGAN TRIWULAN II</t>
  </si>
  <si>
    <t>KABUPATEN LAMANDAU TAHUN 2016</t>
  </si>
  <si>
    <t>SASARAN PEMBANGUNAN TAHUNAN KABUPATEN LAMANDAU :</t>
  </si>
  <si>
    <t>No</t>
  </si>
  <si>
    <t>Kode</t>
  </si>
  <si>
    <t>Urusan/Bidang Urusan Pemerintahan Daerah dan Program/ Kegiatan</t>
  </si>
  <si>
    <t>Indikator Kinerja Program (Outcome)/ Kegiatan (Output)</t>
  </si>
  <si>
    <t>Target RPJMD  pada Tahun 2013 sampai dengan Tahun 2018  (Periode RPJMD)</t>
  </si>
  <si>
    <t>Realisasi Capaian Kinerja RPJMD  sampai dengan RKPD  Tahun 2015</t>
  </si>
  <si>
    <t>Target Kinerja dan Anggaran RKPD 2016</t>
  </si>
  <si>
    <t>PPTK</t>
  </si>
  <si>
    <t>BAGIAN</t>
  </si>
  <si>
    <t>K</t>
  </si>
  <si>
    <t>Rp '(000)</t>
  </si>
  <si>
    <t>RKPD</t>
  </si>
  <si>
    <t>DPA</t>
  </si>
  <si>
    <t>selisih (bertambah)/   berkurang</t>
  </si>
  <si>
    <t>PROGRAM DAN KEGIATAN RENJA/DPA</t>
  </si>
  <si>
    <t>RENSTRA</t>
  </si>
  <si>
    <t>KINERJA RENSTRA 5 TAHUN</t>
  </si>
  <si>
    <t>PAGU RENSTRA 5 TAHUN</t>
  </si>
  <si>
    <t>REALISASI KINERJA DAN KEU JANUARI - DESEMBER' 2015</t>
  </si>
  <si>
    <t>KINERJA RENJA 2016</t>
  </si>
  <si>
    <t>PAGU RENJA 2016</t>
  </si>
  <si>
    <t>PAGU DPA 2016</t>
  </si>
  <si>
    <t>REALISASI KINERJA RENJA 2016</t>
  </si>
  <si>
    <t>Program Pelayanan Administrasi Perkantoran</t>
  </si>
  <si>
    <t>Outcome : cakupan pelayanan administrasi perkantoran</t>
  </si>
  <si>
    <t>tersedianya kebutuhan surat menyurat dan  materai</t>
  </si>
  <si>
    <t>buah</t>
  </si>
  <si>
    <t>bulan</t>
  </si>
  <si>
    <t>...</t>
  </si>
  <si>
    <t>- Blj Paket/Pengiriman</t>
  </si>
  <si>
    <t>terlaksananya kebutuhan komunikasi telepon,air  dan listrik</t>
  </si>
  <si>
    <t>tersedianya peralatan dan perlengkapan kantor</t>
  </si>
  <si>
    <t>kali</t>
  </si>
  <si>
    <t>- pakaian adat</t>
  </si>
  <si>
    <t xml:space="preserve"> terselenggaranya kegiatan jasa administrasi keuangan</t>
  </si>
  <si>
    <t>tersedianya peralatan – peralatan kebersihan serta jasa kebersihan</t>
  </si>
  <si>
    <t>orang</t>
  </si>
  <si>
    <t>alat tulis kantor</t>
  </si>
  <si>
    <t>bahan cetak dan penggandaan dokumen -dokumen</t>
  </si>
  <si>
    <t>komponen instalasi listrik/penerangan</t>
  </si>
  <si>
    <t>terselenggaranya kegiatan jasa peralatan dan perlengkapan kantor</t>
  </si>
  <si>
    <t>tersedianya peralatan rumah tangga</t>
  </si>
  <si>
    <t>makanan dan minuman pegawai</t>
  </si>
  <si>
    <t>perjalanan dinas luar daerah</t>
  </si>
  <si>
    <t>perjalanan dinas dalam daerah</t>
  </si>
  <si>
    <t xml:space="preserve">terselenggaranya kegiatan ULP </t>
  </si>
  <si>
    <t>perjalanan dinas luar negeri</t>
  </si>
  <si>
    <t>terselenggaranya kegiatan LPSE</t>
  </si>
  <si>
    <t>Rata-rata capaian kinerja %</t>
  </si>
  <si>
    <t>Predikat kinerja</t>
  </si>
  <si>
    <t>Program Peningkatan Sarana dan Prasarana Aparatur</t>
  </si>
  <si>
    <t>Outcome : cakupan pelayanan sarana dan prasarana aparatur</t>
  </si>
  <si>
    <t>tersedianya rumah dinas</t>
  </si>
  <si>
    <t>paket</t>
  </si>
  <si>
    <t>tersedianya pembangunan gedung kantor</t>
  </si>
  <si>
    <t>unit</t>
  </si>
  <si>
    <t>tersedianya kendaraan dinas/operasional</t>
  </si>
  <si>
    <t>biaya operasional pemeliharaan rumah dinas</t>
  </si>
  <si>
    <t>meter</t>
  </si>
  <si>
    <r>
      <t>m</t>
    </r>
    <r>
      <rPr>
        <vertAlign val="superscript"/>
        <sz val="10"/>
        <rFont val="Calibri"/>
        <family val="2"/>
        <scheme val="minor"/>
      </rPr>
      <t>2</t>
    </r>
  </si>
  <si>
    <t>biaya operasional pemeliharaan gedung kantor</t>
  </si>
  <si>
    <t>1000 ; 1300</t>
  </si>
  <si>
    <t>m2 ; pagar m2</t>
  </si>
  <si>
    <t>biaya operasional kendaraan dinas/operasional</t>
  </si>
  <si>
    <t>Tersedianya biaya operasional pemeliharaan perlengkapan gedung kantor</t>
  </si>
  <si>
    <t>Rehabilatasi Sedang / Berat Rumah jabatan</t>
  </si>
  <si>
    <t>Tersedianya biaya operasional rehab sedang/berat rumah jabatan</t>
  </si>
  <si>
    <t>Tersedianya biaya operasional rehab sedang/berat gedung kantor</t>
  </si>
  <si>
    <t>Tersedianya biaya operasional rehab sedang/berat kendaraan dinas/operasional</t>
  </si>
  <si>
    <t>terlaksananya sertifikasi tanah pemda dilingkungan Setda</t>
  </si>
  <si>
    <t>-</t>
  </si>
  <si>
    <t>Pengadaan Alat-alat Musik dan Perlengkapannya</t>
  </si>
  <si>
    <t>Bertambahnya alat-alat musik dan perlengkapannya</t>
  </si>
  <si>
    <t>Program Peningkatan Disiplin Aparatur</t>
  </si>
  <si>
    <t>outcome : % tingkat kepatuhan pegawai</t>
  </si>
  <si>
    <t>Tersedianya pakaian dinas untuk pegawai</t>
  </si>
  <si>
    <t>jenis</t>
  </si>
  <si>
    <t>Program Fasilitas Pindah/Purna Tugas PNS</t>
  </si>
  <si>
    <t>outcome : persentase aparatur yang tewas dalam tugas</t>
  </si>
  <si>
    <t>terselenggaranya pemulangan PNS yg tewas dalam tugas</t>
  </si>
  <si>
    <t>Program peningkatan Kapasitas Sumber Daya Aparatur</t>
  </si>
  <si>
    <t>Outcome : Prosentase aparatur yang memiliki kompetensi</t>
  </si>
  <si>
    <t>pegawai-pegawai yang mengikuti kursus dan peningkatan ketrampilan aparatur</t>
  </si>
  <si>
    <t>Orang</t>
  </si>
  <si>
    <t>terselenggaranya kegiatan Raker</t>
  </si>
  <si>
    <t>pegawai-pegawai yang mengikuti pelatihan dan peningkatan ketrampilan aparatur</t>
  </si>
  <si>
    <t>dokumen</t>
  </si>
  <si>
    <t>terselenggaranya kegiatan fasilitasi</t>
  </si>
  <si>
    <t>laporan</t>
  </si>
  <si>
    <t>aparatur dan  masyarakat yang mengikuti pelatihan dan sosialisasi SPSE</t>
  </si>
  <si>
    <t>Pelaksanaan Tugas &amp; Fungsi Demang Kepala Adat</t>
  </si>
  <si>
    <t>Program Peningkatan Promosi &amp; Kerjasama Investasi</t>
  </si>
  <si>
    <t>outcome : persentase promosi investasi</t>
  </si>
  <si>
    <t>terlaksananya mengikuti pameran dalam dan luar daerah</t>
  </si>
  <si>
    <t>kegiatan</t>
  </si>
  <si>
    <t>Program Peningkatan Pelayanan Kedinasan KDH/WKDH</t>
  </si>
  <si>
    <t>Outcome : cakupan pelayanan kedinasan KDH/WKDH</t>
  </si>
  <si>
    <t>terselenggaranya dialog/audiensi yang efektif</t>
  </si>
  <si>
    <t>terselenggaranya penerimaan kunjungan kerja pejabat negara</t>
  </si>
  <si>
    <t>terselenggaranya rapat koordinasi unsur muspida</t>
  </si>
  <si>
    <t>terselenggaranya rapat koordinasi pejabat pemda</t>
  </si>
  <si>
    <t>terlaksananya kunker /inspeksi KDH/WKDH</t>
  </si>
  <si>
    <t>terselenggaranya koordinasi dengan pemerintah pusat dan pemda lainnya</t>
  </si>
  <si>
    <t>Program Peningkatan Dan Pengembangan Pengelolaan Keuangan Daerah</t>
  </si>
  <si>
    <t>Outcome : cakupan pelayanan keuangan daerah</t>
  </si>
  <si>
    <t>terselenggaranya kegiatan penatausahaan keuangan</t>
  </si>
  <si>
    <t>tahun</t>
  </si>
  <si>
    <t>terselenggaranya kegiatan manajemen asset  Setda yang mengikuti kaidah</t>
  </si>
  <si>
    <t>terselenggaranya penyusunan Dokumen anggaran Tepat Waktu</t>
  </si>
  <si>
    <t>Terlaksananya program peningkatan dan pengembangan pengelolaan keuangan daerah</t>
  </si>
  <si>
    <t>Program Optimalisasi Pemanfaatan Teknologi Informasi</t>
  </si>
  <si>
    <t>Outcome : persentase penerapan e -government</t>
  </si>
  <si>
    <t>akses data dan informasi melalui portal</t>
  </si>
  <si>
    <t>Program Peningkatan Kerjasama Antar Pemda</t>
  </si>
  <si>
    <t>Terlaksananya rapat antar daerah</t>
  </si>
  <si>
    <t>Program Penataan Peraturan Perundang-Undangan</t>
  </si>
  <si>
    <t xml:space="preserve">outcome : persentase perda yang disosialisasikan dan ditetapkan </t>
  </si>
  <si>
    <t>tersusunnya Perda dan Perkada</t>
  </si>
  <si>
    <t>terselenggaranya sosialiasi Perda</t>
  </si>
  <si>
    <t>kecamatan</t>
  </si>
  <si>
    <t>terselenggaranya Prolegda</t>
  </si>
  <si>
    <t>Pembentukan Perda</t>
  </si>
  <si>
    <t>terselenggaranya pembentukan perda</t>
  </si>
  <si>
    <t>terselenggaranya kegiatan penyuluhan hukum terpadu</t>
  </si>
  <si>
    <t>Program Penataan Daerah Otonomi Baru</t>
  </si>
  <si>
    <t>outcome : persentase tersedianya jumlah luas lahan bersertifikat</t>
  </si>
  <si>
    <t>terselenggaranya fasilitasi penyelesaian tapal batas</t>
  </si>
  <si>
    <t>terselenggaranya penyelesaian tata batas daerah</t>
  </si>
  <si>
    <t>Tim Fasilitasi Rupa Bumi / Tim Pendataan Rupa Bumi</t>
  </si>
  <si>
    <t>terselenggaranya kegiatan fasilitasi Rupa Bumi</t>
  </si>
  <si>
    <t>tersusunnya dokumen LPPD/ILPPD</t>
  </si>
  <si>
    <t>Pelatihan Aplikasi Sistem Informasi Manajemen Pemerintahan Desa</t>
  </si>
  <si>
    <t>Terlaksananya pelatihan aplikasi Pemerintahan Desa</t>
  </si>
  <si>
    <t>Pembinaan dan monitoring Kegiatan Paten</t>
  </si>
  <si>
    <t>Pelaksanaan Kerjasama Antar Daerah</t>
  </si>
  <si>
    <t xml:space="preserve">Program Pembinaan &amp; Pengawasan Penyelenggaraan PEMDES </t>
  </si>
  <si>
    <t xml:space="preserve">outcome : </t>
  </si>
  <si>
    <t>Penyelenggaraan PILKADES</t>
  </si>
  <si>
    <t>desa</t>
  </si>
  <si>
    <t>Bimtek Pemdes</t>
  </si>
  <si>
    <t>Program Pembangunan Informasi</t>
  </si>
  <si>
    <t>Outcome : Persentase Meningkatnya penyebaran informasi</t>
  </si>
  <si>
    <t>publikasi informasi yang tersebar</t>
  </si>
  <si>
    <t>terselenggaranya kerjasama dg  media cetak dan TV</t>
  </si>
  <si>
    <t>pengaduan masyarakat yang tertangani</t>
  </si>
  <si>
    <t>tersusunnya kliping koran</t>
  </si>
  <si>
    <t>tersusunnya buletin</t>
  </si>
  <si>
    <t>terselenggaranya operasional RSPD</t>
  </si>
  <si>
    <t>terselenggaranya operasional TVRI</t>
  </si>
  <si>
    <t>Peliputan &amp; Pendokumentasian Kegiatan Pemda Lamandau</t>
  </si>
  <si>
    <t>terliputnya kunjungan Bupati dan Wakil Bupati</t>
  </si>
  <si>
    <t>Program Dokumentasi Hukum &amp; Peta Permasalahan Hukum</t>
  </si>
  <si>
    <t>Outcome : penyelesaian kasus bantuan hukum</t>
  </si>
  <si>
    <t>terselenggaranya penanganan hukum dan pengaduan masyarakat</t>
  </si>
  <si>
    <t>tersusunnya dokumentasi dan peta hukum</t>
  </si>
  <si>
    <t>Program Peningkatan Sarana Perekonomian</t>
  </si>
  <si>
    <t>Outcome : jumlah koordinasi monev raskin</t>
  </si>
  <si>
    <t>terlaksananya kegiatan dan pelaporan monev Raskin</t>
  </si>
  <si>
    <t>Program Pemberdayaan Dunia Usaha dan Pemberdayaan Ekonomi Masyarakat</t>
  </si>
  <si>
    <t>outcome : jumlah UMKM yg memiliki kemampuan dasar</t>
  </si>
  <si>
    <t>masyarakat yang mengikuti dan peningkatan kapasitas SDM UMKM dan Koperasi</t>
  </si>
  <si>
    <t>Kegiatan</t>
  </si>
  <si>
    <t>Program Sosialisasi dan Pembinaan Hukum</t>
  </si>
  <si>
    <t>outcome : jumlah desa sadar hukum</t>
  </si>
  <si>
    <t>Lomba Keluarga Sadar Hukum</t>
  </si>
  <si>
    <t>masyarakat yang mengikuti lomba dan peningkatan kapasitas aparatur</t>
  </si>
  <si>
    <t>masyarakat yang mengikuti dan peningkatan kapasitas aparatur</t>
  </si>
  <si>
    <t>terselenggaranya aksi pemberantasan korupsi</t>
  </si>
  <si>
    <t>Laporan</t>
  </si>
  <si>
    <t>jumlah desa /kelurahan yang sadar hukum</t>
  </si>
  <si>
    <t>Desa</t>
  </si>
  <si>
    <t>Program Pembinaan &amp; Pengembangan Organisasi</t>
  </si>
  <si>
    <t>Outcome : cakupan penerapan SOP SKPD</t>
  </si>
  <si>
    <t>tersusunnya dokumen LAKIP</t>
  </si>
  <si>
    <t xml:space="preserve">terselenggaranya kegiatan fasilitasi LHKPN </t>
  </si>
  <si>
    <t>terselenggaranya kegiatan penataan kelembagaan daerah</t>
  </si>
  <si>
    <t>Penyusunan Evaluasi jabatan</t>
  </si>
  <si>
    <t>terselenggaranya pembuatan profil kelembagaan dan Good Governance</t>
  </si>
  <si>
    <t>tersusunnya dokumen SOP Setda</t>
  </si>
  <si>
    <t>tersusunnya dokumen Anjab dan ABK</t>
  </si>
  <si>
    <t>Program Pengembangan &amp; Pemantauan Pembangunan</t>
  </si>
  <si>
    <t>outcome : jumlah dokumen perencanaan,kegiatan dan pelaporan tepat waktu</t>
  </si>
  <si>
    <t>tersusunnya dokumen pelaporan Setda</t>
  </si>
  <si>
    <t>tersusunnya dokumen perencanaan Setda</t>
  </si>
  <si>
    <t>terlaksananya kegiatan inventarisasi dan identifikasi hasil pembangunan</t>
  </si>
  <si>
    <t>terlaksananya kegiatan pembinaan dan monev PM2L</t>
  </si>
  <si>
    <t>terlaksananya kegiatan dan pelaporan monev PPSP</t>
  </si>
  <si>
    <t>data yang masuk kedalam database SDDKN</t>
  </si>
  <si>
    <t>Inventarisasi Tanah untuk Pembangunan &amp; Pelebaran Jalan</t>
  </si>
  <si>
    <t>Program Bidang Keagamaan</t>
  </si>
  <si>
    <t>outcome : jumlah desa yg dikunjungi dalam safari keagamaan</t>
  </si>
  <si>
    <t>remaja mengikuti bimbingan penyuluhan</t>
  </si>
  <si>
    <t>keluarga yng mengikuti bimbingan</t>
  </si>
  <si>
    <t>terselenggaranya safari ramadhan</t>
  </si>
  <si>
    <t>terselenggaranya ibadah haji</t>
  </si>
  <si>
    <t>terselenggaranya kunjungan natal</t>
  </si>
  <si>
    <t>masyarakat yang mengikuti kegiatan</t>
  </si>
  <si>
    <t>Festival Anak Soleh (FASI) Tingkat Kab. Lamandau</t>
  </si>
  <si>
    <t>Pengiriman Kalifah Festival Anak Soleh Tingkat Prov. Kalteng</t>
  </si>
  <si>
    <t>Pelaksanaan Wisuda Santri Tingkat Kabupaten Lamandau</t>
  </si>
  <si>
    <t>Pelaksanaan Lomba Seni Paduan Suara Tembang Rohani</t>
  </si>
  <si>
    <t>Program Kesejahteraan Rakyat</t>
  </si>
  <si>
    <t>outcome : jumlah koordinasi kesra</t>
  </si>
  <si>
    <t>masyarakat yang mengikuti khitanan massal</t>
  </si>
  <si>
    <t>masyarakat yang mengikuti nikah massal</t>
  </si>
  <si>
    <t>terlaksananya koordinasi dan konsultasi kesra</t>
  </si>
  <si>
    <t>terlaksananya pembinaan mental spiritual</t>
  </si>
  <si>
    <t>tersedianya biaya operasional asrama mahasiswa</t>
  </si>
  <si>
    <t>Sertifikasi tanah masyarakat</t>
  </si>
  <si>
    <t>Terlaksananya pembuatan sertifikat tanah masyarakat</t>
  </si>
  <si>
    <t>percil</t>
  </si>
  <si>
    <t>Penanganan Konflik Sosial</t>
  </si>
  <si>
    <t>Pelaksanaan Kerumahtanggaan KDH/WKDH</t>
  </si>
  <si>
    <t>Outcome : Tingkat pemenuhan kebutuhan dasar KDH/WKDH</t>
  </si>
  <si>
    <t>terlaksananya pelayanan kerumahtanggaan KDH/WKDH</t>
  </si>
  <si>
    <t xml:space="preserve">biaya operasional pemeliharaan  rujab dan barang inventaris </t>
  </si>
  <si>
    <t>biaya operasional pemeliharaan kendaraan dinas/operasional KDH/WKDH</t>
  </si>
  <si>
    <t>biaya operasional pemeliharaan kesehatan</t>
  </si>
  <si>
    <t>tersedianya pakaian dinas KDH/WKDH</t>
  </si>
  <si>
    <t>Stell</t>
  </si>
  <si>
    <t>stel</t>
  </si>
  <si>
    <t>tersedianya Barang Inventaris KDH/WKDH</t>
  </si>
  <si>
    <t>Program Pembinaan Administrasi Desa/Kelurahan</t>
  </si>
  <si>
    <t>outcome : cakupan referensi dan literatur pemerintah desa</t>
  </si>
  <si>
    <t>tersedianya buku administrasi desa/kelurahan</t>
  </si>
  <si>
    <t>Buku</t>
  </si>
  <si>
    <t>buku</t>
  </si>
  <si>
    <t>terselenggaranya PATEN</t>
  </si>
  <si>
    <t>Program Pembinaan &amp; Pengembangan Birokrasi</t>
  </si>
  <si>
    <t>outcome : cakupan penerapan roadmap reformasi birokrasi</t>
  </si>
  <si>
    <t>tersusunnya SPM Kabupaten Lamandau</t>
  </si>
  <si>
    <t>tersusunnya Rencana Aksi Reformasi Birokrasi</t>
  </si>
  <si>
    <t>TRIWULAN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</si>
</sst>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p&quot;#,##0.00_);\(&quot;Rp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"/>
  </numFmts>
  <fonts count="31" x14ac:knownFonts="1">
    <font>
      <sz val="10"/>
      <name val="Arial"/>
    </font>
    <font>
      <sz val="11"/>
      <color theme="1"/>
      <name val="Calibri"/>
      <family val="2"/>
      <charset val="1"/>
      <scheme val="minor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6"/>
      <color indexed="8"/>
      <name val="Arial Narrow"/>
      <family val="2"/>
    </font>
    <font>
      <b/>
      <sz val="8"/>
      <color indexed="8"/>
      <name val="Arial Narrow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Arial Narrow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0"/>
      <name val="MS Sans Serif"/>
      <family val="2"/>
    </font>
    <font>
      <sz val="10"/>
      <color indexed="8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41" fontId="26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27" fillId="0" borderId="0"/>
    <xf numFmtId="0" fontId="28" fillId="0" borderId="0">
      <alignment vertical="top"/>
    </xf>
    <xf numFmtId="0" fontId="5" fillId="0" borderId="0"/>
    <xf numFmtId="0" fontId="28" fillId="0" borderId="0">
      <alignment vertical="top"/>
    </xf>
    <xf numFmtId="165" fontId="5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5" fillId="0" borderId="0"/>
    <xf numFmtId="9" fontId="27" fillId="0" borderId="0" applyFont="0" applyFill="0" applyBorder="0" applyAlignment="0" applyProtection="0"/>
    <xf numFmtId="0" fontId="29" fillId="0" borderId="0">
      <alignment horizontal="left" vertical="top"/>
    </xf>
    <xf numFmtId="0" fontId="30" fillId="0" borderId="0">
      <alignment horizontal="left" vertical="top"/>
    </xf>
  </cellStyleXfs>
  <cellXfs count="247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Continuous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41" fontId="4" fillId="0" borderId="0" xfId="1" applyNumberFormat="1" applyFont="1" applyFill="1" applyBorder="1" applyAlignment="1">
      <alignment horizontal="centerContinuous" vertical="top"/>
    </xf>
    <xf numFmtId="41" fontId="4" fillId="0" borderId="0" xfId="0" applyNumberFormat="1" applyFont="1" applyFill="1" applyBorder="1" applyAlignment="1">
      <alignment horizontal="centerContinuous" vertical="top"/>
    </xf>
    <xf numFmtId="41" fontId="4" fillId="0" borderId="0" xfId="0" applyNumberFormat="1" applyFont="1" applyFill="1" applyBorder="1" applyAlignment="1">
      <alignment horizontal="center" vertical="top"/>
    </xf>
    <xf numFmtId="1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Continuous" vertical="top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41" fontId="2" fillId="0" borderId="0" xfId="0" applyNumberFormat="1" applyFont="1" applyFill="1" applyBorder="1" applyAlignment="1">
      <alignment horizontal="centerContinuous" vertical="top"/>
    </xf>
    <xf numFmtId="41" fontId="2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41" fontId="4" fillId="0" borderId="0" xfId="1" applyNumberFormat="1" applyFont="1" applyFill="1" applyBorder="1" applyAlignment="1">
      <alignment vertical="top"/>
    </xf>
    <xf numFmtId="41" fontId="4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right" vertical="top"/>
    </xf>
    <xf numFmtId="41" fontId="4" fillId="0" borderId="1" xfId="1" applyNumberFormat="1" applyFont="1" applyFill="1" applyBorder="1" applyAlignment="1">
      <alignment vertical="top"/>
    </xf>
    <xf numFmtId="41" fontId="4" fillId="0" borderId="1" xfId="0" applyNumberFormat="1" applyFont="1" applyFill="1" applyBorder="1" applyAlignment="1">
      <alignment vertical="top"/>
    </xf>
    <xf numFmtId="41" fontId="4" fillId="0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1" fontId="8" fillId="2" borderId="1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Continuous" vertical="center"/>
    </xf>
    <xf numFmtId="0" fontId="7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0" fillId="4" borderId="12" xfId="0" applyNumberForma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2" fillId="6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Continuous" vertical="center"/>
    </xf>
    <xf numFmtId="0" fontId="7" fillId="6" borderId="12" xfId="0" applyFont="1" applyFill="1" applyBorder="1" applyAlignment="1">
      <alignment horizontal="left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6" borderId="15" xfId="0" applyNumberFormat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3" fontId="2" fillId="6" borderId="12" xfId="0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1" fontId="0" fillId="5" borderId="12" xfId="0" applyNumberFormat="1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2" fillId="6" borderId="12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Continuous" vertical="top"/>
    </xf>
    <xf numFmtId="0" fontId="7" fillId="6" borderId="12" xfId="0" applyFont="1" applyFill="1" applyBorder="1" applyAlignment="1">
      <alignment horizontal="left" vertical="top"/>
    </xf>
    <xf numFmtId="0" fontId="2" fillId="6" borderId="13" xfId="0" applyNumberFormat="1" applyFont="1" applyFill="1" applyBorder="1" applyAlignment="1">
      <alignment horizontal="center" vertical="top"/>
    </xf>
    <xf numFmtId="0" fontId="2" fillId="6" borderId="15" xfId="0" applyNumberFormat="1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0" fontId="2" fillId="6" borderId="13" xfId="0" applyFont="1" applyFill="1" applyBorder="1" applyAlignment="1">
      <alignment horizontal="center" vertical="top"/>
    </xf>
    <xf numFmtId="0" fontId="2" fillId="6" borderId="15" xfId="0" applyFont="1" applyFill="1" applyBorder="1" applyAlignment="1">
      <alignment horizontal="center" vertical="top"/>
    </xf>
    <xf numFmtId="3" fontId="2" fillId="6" borderId="15" xfId="0" applyNumberFormat="1" applyFont="1" applyFill="1" applyBorder="1" applyAlignment="1">
      <alignment horizontal="center" vertical="top"/>
    </xf>
    <xf numFmtId="1" fontId="0" fillId="0" borderId="12" xfId="0" applyNumberFormat="1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6" borderId="0" xfId="0" applyFill="1"/>
    <xf numFmtId="0" fontId="2" fillId="7" borderId="1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1" fontId="0" fillId="7" borderId="12" xfId="0" applyNumberFormat="1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9" fillId="6" borderId="6" xfId="0" applyFont="1" applyFill="1" applyBorder="1" applyAlignment="1">
      <alignment vertical="top" wrapText="1"/>
    </xf>
    <xf numFmtId="0" fontId="10" fillId="6" borderId="12" xfId="0" applyFont="1" applyFill="1" applyBorder="1" applyAlignment="1">
      <alignment vertical="top" wrapText="1"/>
    </xf>
    <xf numFmtId="3" fontId="11" fillId="6" borderId="12" xfId="0" applyNumberFormat="1" applyFont="1" applyFill="1" applyBorder="1" applyAlignment="1">
      <alignment vertical="top"/>
    </xf>
    <xf numFmtId="3" fontId="11" fillId="6" borderId="12" xfId="2" applyNumberFormat="1" applyFont="1" applyFill="1" applyBorder="1" applyAlignment="1">
      <alignment vertical="top"/>
    </xf>
    <xf numFmtId="0" fontId="10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vertical="top"/>
    </xf>
    <xf numFmtId="0" fontId="13" fillId="6" borderId="15" xfId="0" applyFont="1" applyFill="1" applyBorder="1" applyAlignment="1">
      <alignment horizontal="center" vertical="top"/>
    </xf>
    <xf numFmtId="3" fontId="14" fillId="6" borderId="12" xfId="2" applyNumberFormat="1" applyFont="1" applyFill="1" applyBorder="1" applyAlignment="1">
      <alignment vertical="top"/>
    </xf>
    <xf numFmtId="0" fontId="13" fillId="6" borderId="12" xfId="0" applyFont="1" applyFill="1" applyBorder="1" applyAlignment="1">
      <alignment horizontal="center" vertical="top"/>
    </xf>
    <xf numFmtId="3" fontId="11" fillId="6" borderId="13" xfId="2" applyNumberFormat="1" applyFont="1" applyFill="1" applyBorder="1" applyAlignment="1">
      <alignment vertical="top"/>
    </xf>
    <xf numFmtId="1" fontId="0" fillId="6" borderId="12" xfId="0" applyNumberFormat="1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3" fillId="8" borderId="12" xfId="0" applyFont="1" applyFill="1" applyBorder="1" applyAlignment="1">
      <alignment vertical="top" wrapText="1"/>
    </xf>
    <xf numFmtId="3" fontId="13" fillId="0" borderId="12" xfId="0" applyNumberFormat="1" applyFont="1" applyBorder="1" applyAlignment="1">
      <alignment vertical="top"/>
    </xf>
    <xf numFmtId="3" fontId="13" fillId="0" borderId="12" xfId="2" applyNumberFormat="1" applyFont="1" applyBorder="1" applyAlignment="1">
      <alignment vertical="top"/>
    </xf>
    <xf numFmtId="3" fontId="13" fillId="9" borderId="12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center" wrapText="1"/>
    </xf>
    <xf numFmtId="3" fontId="13" fillId="9" borderId="12" xfId="2" applyNumberFormat="1" applyFont="1" applyFill="1" applyBorder="1" applyAlignment="1">
      <alignment vertical="top"/>
    </xf>
    <xf numFmtId="0" fontId="13" fillId="0" borderId="12" xfId="0" applyFont="1" applyFill="1" applyBorder="1" applyAlignment="1">
      <alignment vertical="top"/>
    </xf>
    <xf numFmtId="0" fontId="13" fillId="0" borderId="15" xfId="0" applyFont="1" applyFill="1" applyBorder="1" applyAlignment="1">
      <alignment horizontal="center" vertical="top"/>
    </xf>
    <xf numFmtId="3" fontId="13" fillId="0" borderId="12" xfId="2" applyNumberFormat="1" applyFont="1" applyFill="1" applyBorder="1" applyAlignment="1">
      <alignment vertical="top"/>
    </xf>
    <xf numFmtId="3" fontId="16" fillId="0" borderId="12" xfId="0" applyNumberFormat="1" applyFont="1" applyFill="1" applyBorder="1" applyAlignment="1">
      <alignment horizontal="right" vertical="top"/>
    </xf>
    <xf numFmtId="164" fontId="13" fillId="0" borderId="12" xfId="0" applyNumberFormat="1" applyFont="1" applyFill="1" applyBorder="1" applyAlignment="1">
      <alignment vertical="top"/>
    </xf>
    <xf numFmtId="0" fontId="13" fillId="10" borderId="12" xfId="0" applyFont="1" applyFill="1" applyBorder="1" applyAlignment="1">
      <alignment horizontal="center" vertical="center"/>
    </xf>
    <xf numFmtId="3" fontId="13" fillId="10" borderId="13" xfId="0" applyNumberFormat="1" applyFont="1" applyFill="1" applyBorder="1" applyAlignment="1">
      <alignment vertical="top"/>
    </xf>
    <xf numFmtId="1" fontId="0" fillId="0" borderId="12" xfId="0" applyNumberFormat="1" applyFill="1" applyBorder="1" applyAlignment="1">
      <alignment vertical="center"/>
    </xf>
    <xf numFmtId="7" fontId="0" fillId="0" borderId="12" xfId="0" applyNumberFormat="1" applyFill="1" applyBorder="1" applyAlignment="1">
      <alignment vertical="center"/>
    </xf>
    <xf numFmtId="0" fontId="15" fillId="0" borderId="6" xfId="0" quotePrefix="1" applyFont="1" applyBorder="1" applyAlignment="1">
      <alignment horizontal="left" vertical="center" wrapText="1"/>
    </xf>
    <xf numFmtId="0" fontId="17" fillId="0" borderId="12" xfId="0" applyFont="1" applyBorder="1" applyAlignment="1">
      <alignment vertical="top" wrapText="1"/>
    </xf>
    <xf numFmtId="0" fontId="13" fillId="10" borderId="12" xfId="0" applyFont="1" applyFill="1" applyBorder="1" applyAlignment="1">
      <alignment vertical="top"/>
    </xf>
    <xf numFmtId="0" fontId="0" fillId="0" borderId="12" xfId="0" applyFill="1" applyBorder="1" applyAlignment="1">
      <alignment vertical="center"/>
    </xf>
    <xf numFmtId="3" fontId="13" fillId="9" borderId="12" xfId="0" applyNumberFormat="1" applyFont="1" applyFill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0" fontId="17" fillId="0" borderId="12" xfId="0" quotePrefix="1" applyFont="1" applyBorder="1" applyAlignment="1">
      <alignment vertical="top" wrapText="1"/>
    </xf>
    <xf numFmtId="0" fontId="0" fillId="0" borderId="0" xfId="0" applyFill="1" applyAlignment="1">
      <alignment vertical="center"/>
    </xf>
    <xf numFmtId="0" fontId="13" fillId="8" borderId="12" xfId="0" applyFont="1" applyFill="1" applyBorder="1" applyAlignment="1">
      <alignment horizontal="left" vertical="top"/>
    </xf>
    <xf numFmtId="3" fontId="13" fillId="0" borderId="12" xfId="3" applyNumberFormat="1" applyFont="1" applyFill="1" applyBorder="1" applyAlignment="1">
      <alignment horizontal="right" vertical="center"/>
    </xf>
    <xf numFmtId="3" fontId="0" fillId="6" borderId="0" xfId="0" applyNumberFormat="1" applyFill="1" applyAlignment="1">
      <alignment vertical="center"/>
    </xf>
    <xf numFmtId="0" fontId="17" fillId="0" borderId="12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vertical="top" wrapText="1"/>
    </xf>
    <xf numFmtId="3" fontId="13" fillId="0" borderId="12" xfId="3" applyNumberFormat="1" applyFont="1" applyFill="1" applyBorder="1" applyAlignment="1">
      <alignment horizontal="center" vertical="center"/>
    </xf>
    <xf numFmtId="164" fontId="2" fillId="11" borderId="13" xfId="0" applyNumberFormat="1" applyFont="1" applyFill="1" applyBorder="1" applyAlignment="1">
      <alignment horizontal="right" vertical="top"/>
    </xf>
    <xf numFmtId="164" fontId="2" fillId="11" borderId="14" xfId="0" applyNumberFormat="1" applyFont="1" applyFill="1" applyBorder="1" applyAlignment="1">
      <alignment horizontal="right" vertical="top"/>
    </xf>
    <xf numFmtId="1" fontId="0" fillId="11" borderId="12" xfId="0" applyNumberFormat="1" applyFill="1" applyBorder="1" applyAlignment="1">
      <alignment horizontal="center" vertical="top"/>
    </xf>
    <xf numFmtId="0" fontId="4" fillId="11" borderId="12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12" xfId="0" applyFont="1" applyFill="1" applyBorder="1"/>
    <xf numFmtId="0" fontId="11" fillId="6" borderId="12" xfId="0" applyFont="1" applyFill="1" applyBorder="1" applyAlignment="1">
      <alignment vertical="top" wrapText="1"/>
    </xf>
    <xf numFmtId="164" fontId="13" fillId="6" borderId="12" xfId="0" applyNumberFormat="1" applyFont="1" applyFill="1" applyBorder="1" applyAlignment="1">
      <alignment vertical="top"/>
    </xf>
    <xf numFmtId="3" fontId="11" fillId="6" borderId="13" xfId="0" applyNumberFormat="1" applyFont="1" applyFill="1" applyBorder="1" applyAlignment="1">
      <alignment vertical="top"/>
    </xf>
    <xf numFmtId="0" fontId="13" fillId="8" borderId="12" xfId="0" applyFont="1" applyFill="1" applyBorder="1" applyAlignment="1">
      <alignment horizontal="left" vertical="top" wrapText="1"/>
    </xf>
    <xf numFmtId="3" fontId="13" fillId="0" borderId="6" xfId="3" applyNumberFormat="1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5" xfId="0" quotePrefix="1" applyFont="1" applyFill="1" applyBorder="1" applyAlignment="1">
      <alignment horizontal="center" vertical="top"/>
    </xf>
    <xf numFmtId="0" fontId="13" fillId="10" borderId="12" xfId="0" applyFont="1" applyFill="1" applyBorder="1" applyAlignment="1">
      <alignment horizontal="center" vertical="top"/>
    </xf>
    <xf numFmtId="0" fontId="10" fillId="6" borderId="12" xfId="0" applyFont="1" applyFill="1" applyBorder="1" applyAlignment="1">
      <alignment horizontal="left" vertical="top" wrapText="1"/>
    </xf>
    <xf numFmtId="3" fontId="14" fillId="6" borderId="12" xfId="0" applyNumberFormat="1" applyFont="1" applyFill="1" applyBorder="1" applyAlignment="1">
      <alignment vertical="top"/>
    </xf>
    <xf numFmtId="3" fontId="10" fillId="6" borderId="12" xfId="0" applyNumberFormat="1" applyFont="1" applyFill="1" applyBorder="1" applyAlignment="1">
      <alignment horizontal="right" vertical="top"/>
    </xf>
    <xf numFmtId="9" fontId="13" fillId="0" borderId="12" xfId="0" applyNumberFormat="1" applyFont="1" applyBorder="1" applyAlignment="1">
      <alignment vertical="top"/>
    </xf>
    <xf numFmtId="0" fontId="7" fillId="6" borderId="12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top"/>
    </xf>
    <xf numFmtId="164" fontId="10" fillId="6" borderId="12" xfId="0" applyNumberFormat="1" applyFont="1" applyFill="1" applyBorder="1" applyAlignment="1">
      <alignment vertical="top"/>
    </xf>
    <xf numFmtId="0" fontId="10" fillId="6" borderId="12" xfId="0" applyFont="1" applyFill="1" applyBorder="1" applyAlignment="1">
      <alignment horizontal="center" vertical="top"/>
    </xf>
    <xf numFmtId="1" fontId="8" fillId="6" borderId="12" xfId="0" applyNumberFormat="1" applyFont="1" applyFill="1" applyBorder="1" applyAlignment="1">
      <alignment vertical="center"/>
    </xf>
    <xf numFmtId="0" fontId="8" fillId="6" borderId="12" xfId="0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19" fillId="8" borderId="12" xfId="0" applyFont="1" applyFill="1" applyBorder="1" applyAlignment="1">
      <alignment horizontal="left" vertical="top" wrapText="1"/>
    </xf>
    <xf numFmtId="3" fontId="13" fillId="0" borderId="8" xfId="3" applyNumberFormat="1" applyFont="1" applyFill="1" applyBorder="1" applyAlignment="1">
      <alignment horizontal="right" vertical="center"/>
    </xf>
    <xf numFmtId="3" fontId="10" fillId="6" borderId="12" xfId="0" applyNumberFormat="1" applyFont="1" applyFill="1" applyBorder="1" applyAlignment="1">
      <alignment vertical="top"/>
    </xf>
    <xf numFmtId="0" fontId="10" fillId="6" borderId="12" xfId="0" applyFont="1" applyFill="1" applyBorder="1" applyAlignment="1">
      <alignment vertical="top"/>
    </xf>
    <xf numFmtId="0" fontId="10" fillId="6" borderId="13" xfId="0" applyFont="1" applyFill="1" applyBorder="1" applyAlignment="1">
      <alignment vertical="top"/>
    </xf>
    <xf numFmtId="0" fontId="17" fillId="0" borderId="12" xfId="0" applyFont="1" applyBorder="1" applyAlignment="1">
      <alignment vertical="top"/>
    </xf>
    <xf numFmtId="3" fontId="13" fillId="0" borderId="12" xfId="0" applyNumberFormat="1" applyFont="1" applyFill="1" applyBorder="1" applyAlignment="1">
      <alignment horizontal="right" vertical="top"/>
    </xf>
    <xf numFmtId="0" fontId="11" fillId="6" borderId="12" xfId="0" applyFont="1" applyFill="1" applyBorder="1" applyAlignment="1">
      <alignment horizontal="left" vertical="top"/>
    </xf>
    <xf numFmtId="0" fontId="20" fillId="0" borderId="12" xfId="0" applyFont="1" applyFill="1" applyBorder="1" applyAlignment="1">
      <alignment horizontal="left" vertical="top" wrapText="1"/>
    </xf>
    <xf numFmtId="0" fontId="2" fillId="12" borderId="12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vertical="top" wrapText="1"/>
    </xf>
    <xf numFmtId="0" fontId="13" fillId="12" borderId="12" xfId="0" applyFont="1" applyFill="1" applyBorder="1" applyAlignment="1">
      <alignment horizontal="left" vertical="top" wrapText="1"/>
    </xf>
    <xf numFmtId="3" fontId="13" fillId="12" borderId="12" xfId="0" applyNumberFormat="1" applyFont="1" applyFill="1" applyBorder="1" applyAlignment="1">
      <alignment vertical="top"/>
    </xf>
    <xf numFmtId="0" fontId="13" fillId="12" borderId="15" xfId="0" applyFont="1" applyFill="1" applyBorder="1" applyAlignment="1">
      <alignment horizontal="center" vertical="top"/>
    </xf>
    <xf numFmtId="0" fontId="13" fillId="12" borderId="12" xfId="0" applyFont="1" applyFill="1" applyBorder="1" applyAlignment="1">
      <alignment vertical="top"/>
    </xf>
    <xf numFmtId="3" fontId="13" fillId="12" borderId="12" xfId="3" applyNumberFormat="1" applyFont="1" applyFill="1" applyBorder="1" applyAlignment="1">
      <alignment horizontal="right" vertical="center"/>
    </xf>
    <xf numFmtId="3" fontId="16" fillId="12" borderId="12" xfId="0" applyNumberFormat="1" applyFont="1" applyFill="1" applyBorder="1" applyAlignment="1">
      <alignment horizontal="right" vertical="top"/>
    </xf>
    <xf numFmtId="164" fontId="13" fillId="12" borderId="12" xfId="0" applyNumberFormat="1" applyFont="1" applyFill="1" applyBorder="1" applyAlignment="1">
      <alignment vertical="top"/>
    </xf>
    <xf numFmtId="3" fontId="13" fillId="12" borderId="13" xfId="0" applyNumberFormat="1" applyFont="1" applyFill="1" applyBorder="1" applyAlignment="1">
      <alignment vertical="top"/>
    </xf>
    <xf numFmtId="1" fontId="0" fillId="12" borderId="12" xfId="0" applyNumberFormat="1" applyFill="1" applyBorder="1" applyAlignment="1">
      <alignment vertical="center"/>
    </xf>
    <xf numFmtId="0" fontId="0" fillId="12" borderId="12" xfId="0" applyFill="1" applyBorder="1" applyAlignment="1">
      <alignment vertical="center"/>
    </xf>
    <xf numFmtId="0" fontId="0" fillId="12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3" fontId="13" fillId="0" borderId="12" xfId="0" applyNumberFormat="1" applyFont="1" applyFill="1" applyBorder="1" applyAlignment="1">
      <alignment horizontal="center" vertical="top"/>
    </xf>
    <xf numFmtId="0" fontId="17" fillId="8" borderId="12" xfId="0" applyFont="1" applyFill="1" applyBorder="1" applyAlignment="1">
      <alignment vertical="top" wrapText="1"/>
    </xf>
    <xf numFmtId="3" fontId="21" fillId="0" borderId="12" xfId="0" applyNumberFormat="1" applyFont="1" applyFill="1" applyBorder="1" applyAlignment="1">
      <alignment vertical="center"/>
    </xf>
    <xf numFmtId="3" fontId="21" fillId="12" borderId="12" xfId="0" applyNumberFormat="1" applyFont="1" applyFill="1" applyBorder="1" applyAlignment="1">
      <alignment vertical="center"/>
    </xf>
    <xf numFmtId="3" fontId="10" fillId="6" borderId="13" xfId="0" applyNumberFormat="1" applyFont="1" applyFill="1" applyBorder="1" applyAlignment="1">
      <alignment vertical="top"/>
    </xf>
    <xf numFmtId="0" fontId="10" fillId="12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vertical="top" wrapText="1"/>
    </xf>
    <xf numFmtId="0" fontId="22" fillId="12" borderId="12" xfId="0" applyFont="1" applyFill="1" applyBorder="1" applyAlignment="1">
      <alignment vertical="top" wrapText="1"/>
    </xf>
    <xf numFmtId="0" fontId="13" fillId="12" borderId="12" xfId="0" applyFont="1" applyFill="1" applyBorder="1" applyAlignment="1">
      <alignment horizontal="center" vertical="top"/>
    </xf>
    <xf numFmtId="7" fontId="0" fillId="12" borderId="12" xfId="0" applyNumberFormat="1" applyFill="1" applyBorder="1" applyAlignment="1">
      <alignment vertical="center"/>
    </xf>
    <xf numFmtId="7" fontId="0" fillId="11" borderId="12" xfId="0" applyNumberForma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top"/>
    </xf>
    <xf numFmtId="0" fontId="4" fillId="0" borderId="12" xfId="0" applyFont="1" applyFill="1" applyBorder="1" applyAlignment="1">
      <alignment horizontal="left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0" fontId="23" fillId="8" borderId="12" xfId="0" applyFont="1" applyFill="1" applyBorder="1" applyAlignment="1">
      <alignment horizontal="center" vertical="top"/>
    </xf>
    <xf numFmtId="0" fontId="4" fillId="8" borderId="12" xfId="0" applyFont="1" applyFill="1" applyBorder="1" applyAlignment="1">
      <alignment horizontal="center" vertical="top"/>
    </xf>
    <xf numFmtId="0" fontId="4" fillId="8" borderId="12" xfId="0" applyFont="1" applyFill="1" applyBorder="1" applyAlignment="1">
      <alignment vertical="top"/>
    </xf>
    <xf numFmtId="0" fontId="4" fillId="8" borderId="12" xfId="0" applyFont="1" applyFill="1" applyBorder="1" applyAlignment="1">
      <alignment horizontal="left" vertical="top"/>
    </xf>
    <xf numFmtId="0" fontId="4" fillId="8" borderId="12" xfId="0" applyNumberFormat="1" applyFont="1" applyFill="1" applyBorder="1" applyAlignment="1">
      <alignment horizontal="center" vertical="top"/>
    </xf>
    <xf numFmtId="0" fontId="4" fillId="13" borderId="12" xfId="0" applyFont="1" applyFill="1" applyBorder="1" applyAlignment="1">
      <alignment horizontal="center" vertical="top"/>
    </xf>
    <xf numFmtId="0" fontId="4" fillId="13" borderId="12" xfId="0" applyFont="1" applyFill="1" applyBorder="1" applyAlignment="1">
      <alignment horizontal="right" vertical="top"/>
    </xf>
    <xf numFmtId="3" fontId="4" fillId="13" borderId="12" xfId="0" applyNumberFormat="1" applyFont="1" applyFill="1" applyBorder="1" applyAlignment="1">
      <alignment horizontal="right" vertical="top"/>
    </xf>
    <xf numFmtId="0" fontId="4" fillId="13" borderId="12" xfId="0" applyFont="1" applyFill="1" applyBorder="1" applyAlignment="1">
      <alignment vertical="top"/>
    </xf>
    <xf numFmtId="0" fontId="4" fillId="10" borderId="12" xfId="0" applyFont="1" applyFill="1" applyBorder="1" applyAlignment="1">
      <alignment horizontal="center" vertical="top"/>
    </xf>
    <xf numFmtId="0" fontId="4" fillId="10" borderId="12" xfId="0" applyFont="1" applyFill="1" applyBorder="1" applyAlignment="1">
      <alignment vertical="top"/>
    </xf>
  </cellXfs>
  <cellStyles count="19">
    <cellStyle name="Comma [0]" xfId="1" builtinId="6"/>
    <cellStyle name="Comma [0] 2" xfId="4"/>
    <cellStyle name="Comma [0] 2 3" xfId="5"/>
    <cellStyle name="Comma 2" xfId="2"/>
    <cellStyle name="Normal" xfId="0" builtinId="0"/>
    <cellStyle name="Normal 10" xfId="6"/>
    <cellStyle name="Normal 12 4" xfId="7"/>
    <cellStyle name="Normal 17" xfId="8"/>
    <cellStyle name="Normal 2" xfId="3"/>
    <cellStyle name="Normal 2 2" xfId="9"/>
    <cellStyle name="Normal 23" xfId="10"/>
    <cellStyle name="Normal 3" xfId="11"/>
    <cellStyle name="Normal 4" xfId="12"/>
    <cellStyle name="Normal 5" xfId="13"/>
    <cellStyle name="Normal 54" xfId="14"/>
    <cellStyle name="Normal 6" xfId="15"/>
    <cellStyle name="Percent 4" xfId="16"/>
    <cellStyle name="S5" xfId="17"/>
    <cellStyle name="S6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144780</xdr:colOff>
      <xdr:row>1</xdr:row>
      <xdr:rowOff>0</xdr:rowOff>
    </xdr:from>
    <xdr:ext cx="177342" cy="255111"/>
    <xdr:sp macro="" textlink="">
      <xdr:nvSpPr>
        <xdr:cNvPr id="2" name="TextBox 1"/>
        <xdr:cNvSpPr txBox="1"/>
      </xdr:nvSpPr>
      <xdr:spPr>
        <a:xfrm>
          <a:off x="5334000" y="167640"/>
          <a:ext cx="177342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6</xdr:col>
      <xdr:colOff>144780</xdr:colOff>
      <xdr:row>1</xdr:row>
      <xdr:rowOff>0</xdr:rowOff>
    </xdr:from>
    <xdr:ext cx="177342" cy="255111"/>
    <xdr:sp macro="" textlink="">
      <xdr:nvSpPr>
        <xdr:cNvPr id="3" name="TextBox 2"/>
        <xdr:cNvSpPr txBox="1"/>
      </xdr:nvSpPr>
      <xdr:spPr>
        <a:xfrm>
          <a:off x="5334000" y="167640"/>
          <a:ext cx="177342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LAPTOP/DATA/Kantor/Twoone%20A%20-%202015/Data%20Kasubag%20Pengendalian/Data%20Bendahara%20SETDA/Realisasi%20SPD,%20SP2D%20&amp;%20SPJ%20Setda%20TA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VALUASI%20RKPD/form%20evaluasi%20rkpd%202016%20untuk%20PPTK%20is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AppData\Local\Temp\NITHA%20BAPPEDA\NITHA%20PENGENDALIAN%20PROGRAM\TEPPA%20SKPD\2_FORM%20TEPPA%20PERPUSDA\FORM%20TEPPA_KPAD%20PEBRURI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e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8">
          <cell r="B38" t="str">
            <v>Penyed. Jasa Surat Menyurat</v>
          </cell>
        </row>
        <row r="42">
          <cell r="B42" t="str">
            <v>Penyed. Jasa Komunikasi, Sumber Daya Air dan Listrik</v>
          </cell>
        </row>
        <row r="48">
          <cell r="B48" t="str">
            <v>Penyediaan Jasa Peralatan &amp; Perlengk. Kantor</v>
          </cell>
        </row>
        <row r="52">
          <cell r="B52" t="str">
            <v>Penyed. Jasa Administrasi Keu</v>
          </cell>
        </row>
        <row r="57">
          <cell r="B57" t="str">
            <v>Penyed. Jasa Kebersihan Kantor</v>
          </cell>
        </row>
        <row r="61">
          <cell r="B61" t="str">
            <v>Penyediaan Alat Tulis Kantor</v>
          </cell>
        </row>
        <row r="64">
          <cell r="B64" t="str">
            <v>Penyediaan Barang Cetakan dan Penggandaan</v>
          </cell>
        </row>
        <row r="69">
          <cell r="B69" t="str">
            <v>Penyed. Komp. Instalasi Listrik &amp; Penerangan Bangunan Kantor</v>
          </cell>
        </row>
        <row r="72">
          <cell r="B72" t="str">
            <v>Penyed. Peralatan &amp; Perlengk Ktr</v>
          </cell>
        </row>
        <row r="90">
          <cell r="B90" t="str">
            <v>Penyed. Peralatan Rumah Tangga</v>
          </cell>
        </row>
        <row r="93">
          <cell r="B93" t="str">
            <v>Penyed. Makanan dan Minuman</v>
          </cell>
        </row>
        <row r="97">
          <cell r="B97" t="str">
            <v>Rapat2 Koordinasi &amp; Konsultasi Keluar Daerah</v>
          </cell>
        </row>
        <row r="100">
          <cell r="B100" t="str">
            <v>Rapat Koordinasi Dalam Daerah</v>
          </cell>
        </row>
        <row r="103">
          <cell r="B103" t="str">
            <v xml:space="preserve">Pengelolaan Unit Layanan Pengadaan </v>
          </cell>
        </row>
        <row r="113">
          <cell r="B113" t="str">
            <v>Rapat - rapat Koord. dan Konsultasi ke Luar Negeri</v>
          </cell>
        </row>
        <row r="116">
          <cell r="B116" t="str">
            <v>Pengelolaan LPSE</v>
          </cell>
        </row>
        <row r="136">
          <cell r="B136" t="str">
            <v>Pembangunan Rumah Dinas</v>
          </cell>
        </row>
        <row r="141">
          <cell r="B141" t="str">
            <v>Pembangunan Gedung Kantor</v>
          </cell>
        </row>
        <row r="147">
          <cell r="B147" t="str">
            <v>Pengadaan Kendaraan Dinas / Operasional</v>
          </cell>
        </row>
        <row r="152">
          <cell r="B152" t="str">
            <v>Pem. Rutin/Berkala Rumah Dinas</v>
          </cell>
        </row>
        <row r="155">
          <cell r="B155" t="str">
            <v>Pem. Rutin / Berkala Gedung Kantor</v>
          </cell>
        </row>
        <row r="158">
          <cell r="B158" t="str">
            <v>Pem. Rutin/Berkala Kend. Dinas / Operasional</v>
          </cell>
        </row>
        <row r="165">
          <cell r="B165" t="str">
            <v>Pem. Rutin/Berkala Peralatan Gdg Kantor</v>
          </cell>
        </row>
        <row r="168">
          <cell r="B168" t="str">
            <v>Rehabilitasi Sedang / Berat Gedung Kantor</v>
          </cell>
        </row>
        <row r="171">
          <cell r="B171" t="str">
            <v>Rehabilitasi Sedang / Berat Kend. Dinas / Operasional</v>
          </cell>
        </row>
        <row r="175">
          <cell r="B175" t="str">
            <v>Pengukuran / Sertifikasi Tanah Pemerintah Daerah</v>
          </cell>
        </row>
        <row r="179">
          <cell r="B179" t="str">
            <v>Pengadaan Pakaian Dinas beserta Kelengkapannya</v>
          </cell>
        </row>
        <row r="184">
          <cell r="B184" t="str">
            <v>Pemulangan Pegawai yang Tewas dalam Melaksanakan Tugas</v>
          </cell>
        </row>
        <row r="188">
          <cell r="B188" t="str">
            <v>Pendidikan &amp; Pelatihan Formal</v>
          </cell>
        </row>
        <row r="193">
          <cell r="B193" t="str">
            <v>Raker Camat, Kepala Desa / Lurah &amp; Ketua BPD</v>
          </cell>
        </row>
        <row r="210">
          <cell r="B210" t="str">
            <v>Pelatihan Administrasi Desa</v>
          </cell>
        </row>
        <row r="221">
          <cell r="B221" t="str">
            <v xml:space="preserve">Pelaksanaan Tugas &amp; Fungsi Peneliti &amp; Pengawas Pemilihan Kades </v>
          </cell>
        </row>
        <row r="226">
          <cell r="B226" t="str">
            <v>Tim Fasilitasi ADD</v>
          </cell>
        </row>
        <row r="230">
          <cell r="B230" t="str">
            <v>Pelatihan dan Sosialisasi LPSE</v>
          </cell>
        </row>
        <row r="238">
          <cell r="B238" t="str">
            <v>Pelatihan Peningkatan Kemampuan Aparatur Desa</v>
          </cell>
        </row>
        <row r="253">
          <cell r="B253" t="str">
            <v xml:space="preserve">Penyelenggaraan Pameran Tingkat Kabupaten </v>
          </cell>
        </row>
        <row r="263">
          <cell r="B263" t="str">
            <v>Dialog/Audensi dg Tokoh Masy dll</v>
          </cell>
        </row>
        <row r="274">
          <cell r="B274" t="str">
            <v>Penerim. Kunker Pejabat Negara / Dept / Lembaga Non Dept / LN</v>
          </cell>
        </row>
        <row r="283">
          <cell r="B283" t="str">
            <v>Rapat Koordinasi Unsur MUSPIDA</v>
          </cell>
        </row>
        <row r="294">
          <cell r="B294" t="str">
            <v>Rakor Pejabat Pemerintah Daerah</v>
          </cell>
        </row>
        <row r="302">
          <cell r="B302" t="str">
            <v>Kunker / Inspeksi KDH / WKDH</v>
          </cell>
        </row>
        <row r="310">
          <cell r="B310" t="str">
            <v>Koord. dengan Pemerintah Pusat &amp; Pemda Lainnya</v>
          </cell>
        </row>
        <row r="315">
          <cell r="B315" t="str">
            <v>Penatausahaan Keuangan di lingkungan Setda</v>
          </cell>
        </row>
        <row r="324">
          <cell r="B324" t="str">
            <v>Manajemen Pengelolaan Barang Milik Daerah (Setda)</v>
          </cell>
        </row>
        <row r="333">
          <cell r="B333" t="str">
            <v>Penyusunan Anggaran di Lingkungan Setda</v>
          </cell>
        </row>
        <row r="340">
          <cell r="B340" t="str">
            <v>Verifikasi Pengad. Barang &amp; Jasa Pemkab Lamandau</v>
          </cell>
        </row>
        <row r="348">
          <cell r="B348" t="str">
            <v>Pendampingan Portal Informasi Berbasis Web</v>
          </cell>
        </row>
        <row r="357">
          <cell r="B357" t="str">
            <v>Rapat Pengurus Komwil Forsedasi Prov. Kalteng</v>
          </cell>
        </row>
        <row r="373">
          <cell r="B373" t="str">
            <v>Pembuatan Perda &amp; Perkada</v>
          </cell>
        </row>
        <row r="383">
          <cell r="B383" t="str">
            <v>Sosialisasi Perda Kab. LMD</v>
          </cell>
        </row>
        <row r="396">
          <cell r="B396" t="str">
            <v>Program Legislasi Daerah (Prolegda)</v>
          </cell>
        </row>
        <row r="405">
          <cell r="B405" t="str">
            <v>Penyuluhan Hukum Terpadu</v>
          </cell>
        </row>
        <row r="421">
          <cell r="B421" t="str">
            <v>Percepatan Penyelesaian Tapal Batas Wil Amd Antar Daerah</v>
          </cell>
        </row>
        <row r="426">
          <cell r="B426" t="str">
            <v>Tata Batas Antar Desa dan Kec.</v>
          </cell>
        </row>
        <row r="433">
          <cell r="B433" t="str">
            <v>Penyusunan LPPD dan ILPPD</v>
          </cell>
        </row>
        <row r="439">
          <cell r="B439" t="str">
            <v>Publikasi &amp; Informasi Kegiatan Pembangunan</v>
          </cell>
        </row>
        <row r="446">
          <cell r="B446" t="str">
            <v>Kerjasama dengan Media Cetak dan Elektronik</v>
          </cell>
        </row>
        <row r="454">
          <cell r="B454" t="str">
            <v>Sistem Pelayanan Informasi dan Pengaduan Masyarakat</v>
          </cell>
        </row>
        <row r="460">
          <cell r="B460" t="str">
            <v>Kliping Koran</v>
          </cell>
        </row>
        <row r="467">
          <cell r="B467" t="str">
            <v>Buletin Bahaum Bakuba</v>
          </cell>
        </row>
        <row r="471">
          <cell r="B471" t="str">
            <v xml:space="preserve">Pengelolaan RSPD </v>
          </cell>
        </row>
        <row r="479">
          <cell r="B479" t="str">
            <v>Pengelolaan TVRI</v>
          </cell>
        </row>
        <row r="483">
          <cell r="B483" t="str">
            <v>Pendampingan dan Peliputan Kunj. Bupati / Wakil Bupati</v>
          </cell>
        </row>
        <row r="489">
          <cell r="B489" t="str">
            <v>Bant. Hukum, Sangketa Hkm &amp; Penanganan Pengaduan Masy.</v>
          </cell>
        </row>
        <row r="499">
          <cell r="B499" t="str">
            <v>Dokumentasi Hukum dan Info. Hukum</v>
          </cell>
        </row>
        <row r="509">
          <cell r="B509" t="str">
            <v>Pendistribusian, Monitoring &amp; Evaluasi Program Raskin</v>
          </cell>
        </row>
        <row r="522">
          <cell r="B522" t="str">
            <v>Peningktan Pengetahuan Masy. dlm rngka Peningkt Perekonomian Masyarakat</v>
          </cell>
        </row>
        <row r="547">
          <cell r="B547" t="str">
            <v xml:space="preserve">RANHAM </v>
          </cell>
        </row>
        <row r="561">
          <cell r="B561" t="str">
            <v>Rencana Aksi Pencegahan &amp; Pemberantasan Korupsi</v>
          </cell>
        </row>
        <row r="570">
          <cell r="B570" t="str">
            <v>Pembentukan dan Pembinaan Desa / Kel. Sadar Hukum</v>
          </cell>
        </row>
        <row r="583">
          <cell r="B583" t="str">
            <v>Penyusunan LAKIP Setda</v>
          </cell>
        </row>
        <row r="589">
          <cell r="B589" t="str">
            <v>Pemantauan &amp; Pelaporan LHKPN</v>
          </cell>
        </row>
        <row r="598">
          <cell r="B598" t="str">
            <v>Penataan Kelembagaan Perangkat Daerah</v>
          </cell>
        </row>
        <row r="607">
          <cell r="B607" t="str">
            <v>Pembuatan Profil Kelembagaan dan Good Government</v>
          </cell>
        </row>
        <row r="614">
          <cell r="B614" t="str">
            <v>Penyusunan SOP</v>
          </cell>
        </row>
        <row r="621">
          <cell r="B621" t="str">
            <v>Penyusunan Analisis Jabatan &amp; Analisis Beban Kerja</v>
          </cell>
        </row>
        <row r="632">
          <cell r="B632" t="str">
            <v>Penyusunan LAKIP Kabupaten / Sosialisasi &amp; Pendampingan BPKP</v>
          </cell>
        </row>
        <row r="649">
          <cell r="B649" t="str">
            <v>Seleksi Direksi Perusda Bajurung Raya</v>
          </cell>
        </row>
        <row r="661">
          <cell r="B661" t="str">
            <v>Penyiapan Data Info serta Laporan Pembangunan di Lingkungan Setda</v>
          </cell>
        </row>
        <row r="668">
          <cell r="B668" t="str">
            <v>Penetapan Kinerja serta Prog dan Kegiatan Setda</v>
          </cell>
        </row>
        <row r="675">
          <cell r="B675" t="str">
            <v>Inventarisasi &amp; Identifikasi Hasil Pembangunan</v>
          </cell>
        </row>
        <row r="682">
          <cell r="B682" t="str">
            <v>Pembinaan Desa Binaan &amp; PM2L</v>
          </cell>
        </row>
        <row r="690">
          <cell r="B690" t="str">
            <v>Monitoring &amp; Evaluasi Percepatan Pemb. Sanitasi Pemukiman (PPSP)</v>
          </cell>
        </row>
        <row r="701">
          <cell r="B701" t="str">
            <v>Pemanfaatan Sistem Database Dukungan Kebijakan Nas.</v>
          </cell>
        </row>
        <row r="716">
          <cell r="B716" t="str">
            <v>Bimbingan / Penyuluhan Remaja (Masjid / Gereja)</v>
          </cell>
        </row>
        <row r="732">
          <cell r="B732" t="str">
            <v>Bimbingan Keluarga Sakinah</v>
          </cell>
        </row>
        <row r="749">
          <cell r="B749" t="str">
            <v>Penyelenggaraan Safari Ramadhan</v>
          </cell>
        </row>
        <row r="756">
          <cell r="B756" t="str">
            <v>Penyelenggaraan Ibadah Haji</v>
          </cell>
        </row>
        <row r="777">
          <cell r="B777" t="str">
            <v>Penyelenggaraan Kunjungan Natal</v>
          </cell>
        </row>
        <row r="785">
          <cell r="B785" t="str">
            <v>Bimbingan Keluarga Kristen Bahagia</v>
          </cell>
        </row>
        <row r="802">
          <cell r="B802" t="str">
            <v xml:space="preserve">Khitanan Massal </v>
          </cell>
        </row>
        <row r="819">
          <cell r="B819" t="str">
            <v xml:space="preserve">Isbat Nikah </v>
          </cell>
        </row>
        <row r="837">
          <cell r="B837" t="str">
            <v>Koordinasi &amp; Konsultasi Bidang Kesejahteraan Rakyat</v>
          </cell>
        </row>
        <row r="841">
          <cell r="B841" t="str">
            <v>Pembinaan Mental Spiritual / Keagamaan</v>
          </cell>
        </row>
        <row r="859">
          <cell r="B859" t="str">
            <v>Pemeliharaan dan Operasional Mahasiswa</v>
          </cell>
        </row>
        <row r="868">
          <cell r="B868" t="str">
            <v>Pelayanan Kerumahtanggaan KDH / WKDH</v>
          </cell>
        </row>
        <row r="882">
          <cell r="B882" t="str">
            <v>Pemeliharaan Rujab dan Barang Inventaris KDH / WKDH</v>
          </cell>
        </row>
        <row r="886">
          <cell r="B886" t="str">
            <v>Pemeliharaan Kend. Dinas / Jbtan KDH / WKDH</v>
          </cell>
        </row>
        <row r="893">
          <cell r="B893" t="str">
            <v>Pemeliharaan Kesehatan KDH / WKDH</v>
          </cell>
        </row>
        <row r="897">
          <cell r="B897" t="str">
            <v>Pengadaan Pakaian Dinas KDH dan WKDH</v>
          </cell>
        </row>
        <row r="900">
          <cell r="B900" t="str">
            <v>Pengadaan Barang Inventaris KDH dan WKDH</v>
          </cell>
        </row>
        <row r="910">
          <cell r="B910" t="str">
            <v>Pengad. Buku Saku Pemerintah Desa / Kelurahan</v>
          </cell>
        </row>
        <row r="913">
          <cell r="B913" t="str">
            <v>Pemantauan Penyelengg. Adm. Terpadu Kecamatan (PATEN)</v>
          </cell>
        </row>
        <row r="918">
          <cell r="B918" t="str">
            <v>Penyusunan Standar Pelayanan Minimal</v>
          </cell>
        </row>
        <row r="925">
          <cell r="B925" t="str">
            <v>Penyusunan Rencana Aksi Reformasi Birokrasi</v>
          </cell>
        </row>
        <row r="932">
          <cell r="B932" t="str">
            <v>Penyusunan Survei Kepu asan Masyarakat (SKM)</v>
          </cell>
        </row>
        <row r="940">
          <cell r="B940" t="str">
            <v>Sosialisasi SKB 2 Menteri ( Menteri Agama&amp;Mendagri)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EV.RKPD YG DIISI"/>
      <sheetName val="data PPTK"/>
    </sheetNames>
    <sheetDataSet>
      <sheetData sheetId="0"/>
      <sheetData sheetId="1">
        <row r="16">
          <cell r="S16" t="str">
            <v>RUSMIATI,SE</v>
          </cell>
          <cell r="T16" t="str">
            <v>KEUANGAN</v>
          </cell>
        </row>
        <row r="17">
          <cell r="S17" t="str">
            <v>IKA WIJAYANTI,SE</v>
          </cell>
          <cell r="T17" t="str">
            <v>UMUM</v>
          </cell>
        </row>
        <row r="18">
          <cell r="S18" t="str">
            <v>JHONI HARDI,S.Hut</v>
          </cell>
          <cell r="T18" t="str">
            <v>UMUM</v>
          </cell>
        </row>
        <row r="19">
          <cell r="S19" t="str">
            <v>SUSILAWATI,SE</v>
          </cell>
          <cell r="T19" t="str">
            <v>KEUANGAN</v>
          </cell>
        </row>
        <row r="20">
          <cell r="S20" t="str">
            <v>SUSILAWATI,SE</v>
          </cell>
          <cell r="T20" t="str">
            <v>KEUANGAN</v>
          </cell>
        </row>
        <row r="21">
          <cell r="S21" t="str">
            <v>GUSNIWADI,SH</v>
          </cell>
          <cell r="T21" t="str">
            <v>PERLENGKAPAN</v>
          </cell>
        </row>
        <row r="22">
          <cell r="S22" t="str">
            <v>RUSMIATI,SE</v>
          </cell>
          <cell r="T22" t="str">
            <v>KEUANGAN</v>
          </cell>
        </row>
        <row r="23">
          <cell r="S23" t="str">
            <v>ACHMAD SA'DUDDIN, S.Akt</v>
          </cell>
          <cell r="T23" t="str">
            <v>PERLENGKAPAN</v>
          </cell>
        </row>
        <row r="24">
          <cell r="S24" t="str">
            <v>ARNADIN,S.Hut</v>
          </cell>
          <cell r="T24" t="str">
            <v>PERLENGKAPAN</v>
          </cell>
        </row>
        <row r="25">
          <cell r="S25" t="str">
            <v>SUSILAWATI,SE</v>
          </cell>
          <cell r="T25" t="str">
            <v>KEUANGAN</v>
          </cell>
        </row>
        <row r="26">
          <cell r="S26" t="str">
            <v>JHONI HARDI,S.Hut</v>
          </cell>
          <cell r="T26" t="str">
            <v>UMUM</v>
          </cell>
        </row>
        <row r="27">
          <cell r="S27" t="str">
            <v>SUSILAWATI,SE</v>
          </cell>
          <cell r="T27" t="str">
            <v>KEUANGAN</v>
          </cell>
        </row>
        <row r="28">
          <cell r="S28" t="str">
            <v>SUSILAWATI,SE</v>
          </cell>
          <cell r="T28" t="str">
            <v>KEUANGAN</v>
          </cell>
        </row>
        <row r="29">
          <cell r="S29" t="str">
            <v>MEMEI, SE</v>
          </cell>
          <cell r="T29" t="str">
            <v>ULP</v>
          </cell>
        </row>
        <row r="30">
          <cell r="S30" t="str">
            <v>JHONI HARDI,S.Hut</v>
          </cell>
          <cell r="T30" t="str">
            <v>UMUM</v>
          </cell>
        </row>
        <row r="31">
          <cell r="S31" t="str">
            <v>IKA WIJAYANTI,SE</v>
          </cell>
          <cell r="T31" t="str">
            <v>UMUM</v>
          </cell>
        </row>
        <row r="34">
          <cell r="S34" t="str">
            <v>ARNADIN,S.Hut</v>
          </cell>
          <cell r="T34" t="str">
            <v>PERLENGKAPAN</v>
          </cell>
        </row>
        <row r="35">
          <cell r="S35" t="str">
            <v>ARNADIN,S.Hut</v>
          </cell>
          <cell r="T35" t="str">
            <v>PERLENGKAPAN</v>
          </cell>
        </row>
        <row r="36">
          <cell r="S36" t="str">
            <v>ARNADIN,S.Hut</v>
          </cell>
          <cell r="T36" t="str">
            <v>PERLENGKAPAN</v>
          </cell>
        </row>
        <row r="37">
          <cell r="S37" t="str">
            <v>TONY GRATIAS</v>
          </cell>
          <cell r="T37" t="str">
            <v>PERLENGKAPAN</v>
          </cell>
        </row>
        <row r="38">
          <cell r="S38" t="str">
            <v>GUSNIWADI,SH</v>
          </cell>
          <cell r="T38" t="str">
            <v>PERLENGKAPAN</v>
          </cell>
        </row>
        <row r="39">
          <cell r="S39" t="str">
            <v>GUSNIWADI,SH</v>
          </cell>
          <cell r="T39" t="str">
            <v>PERLENGKAPAN</v>
          </cell>
        </row>
        <row r="40">
          <cell r="S40" t="str">
            <v>ARNADIN,S.Hut</v>
          </cell>
          <cell r="T40" t="str">
            <v>PERLENGKAPAN</v>
          </cell>
        </row>
        <row r="41">
          <cell r="S41" t="str">
            <v>TITUS WELSI</v>
          </cell>
          <cell r="T41" t="str">
            <v>UMUM</v>
          </cell>
        </row>
        <row r="42">
          <cell r="S42" t="str">
            <v>GUSNIWADI,SH</v>
          </cell>
          <cell r="T42" t="str">
            <v>PERLENGKAPAN</v>
          </cell>
        </row>
        <row r="43">
          <cell r="S43" t="str">
            <v>ARNADIN,S.Hut</v>
          </cell>
          <cell r="T43" t="str">
            <v>PERLENGKAPAN</v>
          </cell>
        </row>
        <row r="46">
          <cell r="S46" t="str">
            <v>ACHMAD SA'DUDDIN, S.Akt</v>
          </cell>
          <cell r="T46" t="str">
            <v>PERLENGKAPAN</v>
          </cell>
        </row>
        <row r="49">
          <cell r="S49" t="str">
            <v>ARITUA B.N,S.STP, M.Si</v>
          </cell>
          <cell r="T49" t="str">
            <v>ORGANISASI</v>
          </cell>
        </row>
        <row r="52">
          <cell r="S52" t="str">
            <v>SABANG PARULIAN,SP</v>
          </cell>
          <cell r="T52" t="str">
            <v>ORGANISASI</v>
          </cell>
        </row>
        <row r="53">
          <cell r="S53" t="str">
            <v>SRI WAHYUNI,S.Ipem</v>
          </cell>
          <cell r="T53" t="str">
            <v>PEMERINTAHAN</v>
          </cell>
        </row>
        <row r="54">
          <cell r="S54" t="str">
            <v>SRI WAHYUNI,S.Ipem</v>
          </cell>
          <cell r="T54" t="str">
            <v>PEMERINTAHAN</v>
          </cell>
        </row>
        <row r="55">
          <cell r="S55" t="str">
            <v>PAULUS SINGKAP,S.Sos</v>
          </cell>
          <cell r="T55" t="str">
            <v>PEMERINTAHAN</v>
          </cell>
        </row>
        <row r="56">
          <cell r="S56" t="str">
            <v>PUJI RAHMAT PRATAMA,S.IP</v>
          </cell>
          <cell r="T56" t="str">
            <v>PEMERINTAHAN</v>
          </cell>
        </row>
        <row r="57">
          <cell r="S57" t="str">
            <v>IKA WIJAYANTI,SE</v>
          </cell>
          <cell r="T57" t="str">
            <v>UMUM</v>
          </cell>
        </row>
        <row r="58">
          <cell r="S58" t="str">
            <v>HARSONO, S.IP</v>
          </cell>
          <cell r="T58" t="str">
            <v>PEMERINTAHAN</v>
          </cell>
        </row>
        <row r="59">
          <cell r="S59" t="str">
            <v>SUSANTO, S.STP</v>
          </cell>
          <cell r="T59" t="str">
            <v>PEMERINTAHAN</v>
          </cell>
        </row>
        <row r="62">
          <cell r="S62" t="str">
            <v>PERA KRITHUNI Y, SP. M.Si</v>
          </cell>
          <cell r="T62" t="str">
            <v>EKONOMI</v>
          </cell>
        </row>
        <row r="65">
          <cell r="S65" t="str">
            <v>TRI SANTOSO,S.STP</v>
          </cell>
          <cell r="T65" t="str">
            <v>UMUM</v>
          </cell>
        </row>
        <row r="66">
          <cell r="S66" t="str">
            <v>TRI SANTOSO,S.STP</v>
          </cell>
          <cell r="T66" t="str">
            <v>UMUM</v>
          </cell>
        </row>
        <row r="67">
          <cell r="S67" t="str">
            <v>TRI SANTOSO,S.STP</v>
          </cell>
          <cell r="T67" t="str">
            <v>UMUM</v>
          </cell>
        </row>
        <row r="68">
          <cell r="S68" t="str">
            <v>TRI SANTOSO,S.STP</v>
          </cell>
          <cell r="T68" t="str">
            <v>UMUM</v>
          </cell>
        </row>
        <row r="69">
          <cell r="S69" t="str">
            <v>TRI SANTOSO,S.STP</v>
          </cell>
          <cell r="T69" t="str">
            <v>UMUM</v>
          </cell>
        </row>
        <row r="70">
          <cell r="S70" t="str">
            <v>TRI SANTOSO,S.STP</v>
          </cell>
          <cell r="T70" t="str">
            <v>UMUM</v>
          </cell>
        </row>
        <row r="73">
          <cell r="S73" t="str">
            <v>RUSMIATI,SE</v>
          </cell>
          <cell r="T73" t="str">
            <v>KEUANGAN</v>
          </cell>
        </row>
        <row r="74">
          <cell r="S74" t="str">
            <v>ACHMAD SA'DUDDIN, S.Akt</v>
          </cell>
          <cell r="T74" t="str">
            <v>PERLENGKAPAN</v>
          </cell>
        </row>
        <row r="75">
          <cell r="S75" t="str">
            <v>SUSILAWATI,SE</v>
          </cell>
          <cell r="T75" t="str">
            <v>KEUANGAN</v>
          </cell>
        </row>
        <row r="76">
          <cell r="S76" t="str">
            <v>IKA WIJAYANTI,SE</v>
          </cell>
          <cell r="T76" t="str">
            <v>UMUM</v>
          </cell>
        </row>
        <row r="79">
          <cell r="S79" t="str">
            <v>FRANKLIN,SE</v>
          </cell>
          <cell r="T79" t="str">
            <v>PEMBANGUNAN</v>
          </cell>
        </row>
        <row r="82">
          <cell r="S82" t="str">
            <v>SABANG PARULIAN,SP</v>
          </cell>
          <cell r="T82" t="str">
            <v>ORGANISASI</v>
          </cell>
        </row>
        <row r="85">
          <cell r="S85" t="str">
            <v>LEDIANSYAH,SH</v>
          </cell>
          <cell r="T85" t="str">
            <v>HUKUM</v>
          </cell>
        </row>
        <row r="86">
          <cell r="S86" t="str">
            <v>SINGPI,SH</v>
          </cell>
          <cell r="T86" t="str">
            <v>HUKUM</v>
          </cell>
        </row>
        <row r="87">
          <cell r="S87" t="str">
            <v>ELLY YOSEPH,SH</v>
          </cell>
          <cell r="T87" t="str">
            <v>HUKUM</v>
          </cell>
        </row>
        <row r="88">
          <cell r="S88" t="str">
            <v>LEDIANSYAH,SH</v>
          </cell>
          <cell r="T88" t="str">
            <v>HUKUM</v>
          </cell>
        </row>
        <row r="91">
          <cell r="S91" t="str">
            <v>PAULUS SINGKAP,S.Sos</v>
          </cell>
          <cell r="T91" t="str">
            <v>PEMERINTAHAN</v>
          </cell>
        </row>
        <row r="92">
          <cell r="S92" t="str">
            <v>PUJI RAHMAT PRATAMA,S.IP</v>
          </cell>
          <cell r="T92" t="str">
            <v>PEMERINTAHAN</v>
          </cell>
        </row>
        <row r="93">
          <cell r="S93" t="str">
            <v>SUSANTO, S.STP</v>
          </cell>
          <cell r="T93" t="str">
            <v>PEMERINTAHAN</v>
          </cell>
        </row>
        <row r="94">
          <cell r="S94" t="str">
            <v>PAULUS SINGKAP,S.Sos</v>
          </cell>
          <cell r="T94" t="str">
            <v>PEMERINTAHAN</v>
          </cell>
        </row>
        <row r="95">
          <cell r="S95" t="str">
            <v>PUJI RAHMAT PRATAMA,S.IP</v>
          </cell>
          <cell r="T95" t="str">
            <v>PEMERINTAHAN</v>
          </cell>
        </row>
        <row r="96">
          <cell r="S96" t="str">
            <v>HARSONO, S.IP</v>
          </cell>
        </row>
        <row r="99">
          <cell r="S99" t="str">
            <v>PAULUS SINGKAP,S.Sos</v>
          </cell>
          <cell r="T99" t="str">
            <v>PEMERINTAHAN</v>
          </cell>
        </row>
        <row r="100">
          <cell r="S100" t="str">
            <v>SRI WAHYUNI,S.Ipem</v>
          </cell>
          <cell r="T100" t="str">
            <v>PEMERINTAHAN</v>
          </cell>
        </row>
        <row r="103">
          <cell r="S103" t="str">
            <v>NISAR,S.Pd</v>
          </cell>
          <cell r="T103" t="str">
            <v>HUMAS</v>
          </cell>
        </row>
        <row r="104">
          <cell r="S104" t="str">
            <v>NISAR,S.Pd</v>
          </cell>
          <cell r="T104" t="str">
            <v>HUMAS</v>
          </cell>
        </row>
        <row r="105">
          <cell r="S105" t="str">
            <v>FRANKLIN,SE</v>
          </cell>
          <cell r="T105" t="str">
            <v>PEMBANGUNAN</v>
          </cell>
        </row>
        <row r="106">
          <cell r="S106" t="str">
            <v>KAHADI SAPUTRA,SH</v>
          </cell>
          <cell r="T106" t="str">
            <v>HUMAS</v>
          </cell>
        </row>
        <row r="107">
          <cell r="S107" t="str">
            <v>NISAR,S.Pd</v>
          </cell>
          <cell r="T107" t="str">
            <v>HUMAS</v>
          </cell>
        </row>
        <row r="108">
          <cell r="S108" t="str">
            <v>KAHADI SAPUTRA,SH</v>
          </cell>
          <cell r="T108" t="str">
            <v>HUMAS</v>
          </cell>
        </row>
        <row r="109">
          <cell r="S109" t="str">
            <v>KAHADI SAPUTRA,SH</v>
          </cell>
          <cell r="T109" t="str">
            <v>HUMAS</v>
          </cell>
        </row>
        <row r="110">
          <cell r="S110" t="str">
            <v>NISAR,S.Pd</v>
          </cell>
          <cell r="T110" t="str">
            <v>HUMAS</v>
          </cell>
        </row>
        <row r="113">
          <cell r="S113" t="str">
            <v>WALTER A. DILO,SH.,MH</v>
          </cell>
          <cell r="T113" t="str">
            <v>HUKUM</v>
          </cell>
        </row>
        <row r="114">
          <cell r="S114" t="str">
            <v>SINGPI,SH</v>
          </cell>
          <cell r="T114" t="str">
            <v>HUKUM</v>
          </cell>
        </row>
        <row r="117">
          <cell r="S117" t="str">
            <v>MARTELY,S.Hut, M.Si</v>
          </cell>
          <cell r="T117" t="str">
            <v>EKONOMI</v>
          </cell>
        </row>
        <row r="120">
          <cell r="S120" t="str">
            <v>MEDIKA HERMAWAN,S.STP</v>
          </cell>
        </row>
        <row r="123">
          <cell r="S123" t="str">
            <v>ELLY YOSEPH,SH</v>
          </cell>
          <cell r="T123" t="str">
            <v>HUKUM</v>
          </cell>
        </row>
        <row r="124">
          <cell r="S124" t="str">
            <v>WALTER A. DILO,SH.,MH</v>
          </cell>
          <cell r="T124" t="str">
            <v>HUKUM</v>
          </cell>
        </row>
        <row r="125">
          <cell r="S125" t="str">
            <v>SINGPI,SH</v>
          </cell>
          <cell r="T125" t="str">
            <v>HUKUM</v>
          </cell>
        </row>
        <row r="128">
          <cell r="S128" t="str">
            <v>WELSON,S.Pt</v>
          </cell>
          <cell r="T128" t="str">
            <v>PEMBANGUNAN</v>
          </cell>
        </row>
        <row r="129">
          <cell r="S129" t="str">
            <v>SABANG PARULIAN,SP</v>
          </cell>
          <cell r="T129" t="str">
            <v>ORGANISASI</v>
          </cell>
        </row>
        <row r="130">
          <cell r="S130" t="str">
            <v>ARITUA B.N,S.STP, M.Si</v>
          </cell>
          <cell r="T130" t="str">
            <v>ORGANISASI</v>
          </cell>
        </row>
        <row r="131">
          <cell r="S131" t="str">
            <v>ARITUA B.N,S.STP, M.Si</v>
          </cell>
          <cell r="T131" t="str">
            <v>ORGANISASI</v>
          </cell>
        </row>
        <row r="132">
          <cell r="S132" t="str">
            <v>SABANG PARULIAN,SP</v>
          </cell>
          <cell r="T132" t="str">
            <v>ORGANISASI</v>
          </cell>
        </row>
        <row r="133">
          <cell r="S133" t="str">
            <v>ARITUA B.N,S.STP, M.Si</v>
          </cell>
          <cell r="T133" t="str">
            <v>ORGANISASI</v>
          </cell>
        </row>
        <row r="134">
          <cell r="S134" t="str">
            <v>SABANG PARULIAN,SP</v>
          </cell>
          <cell r="T134" t="str">
            <v>ORGANISASI</v>
          </cell>
        </row>
        <row r="135">
          <cell r="S135" t="str">
            <v>SABANG PARULIAN,SP</v>
          </cell>
          <cell r="T135" t="str">
            <v>ORGANISASI</v>
          </cell>
        </row>
        <row r="136">
          <cell r="S136" t="str">
            <v>PERA KRITHUNI Y, SP. M.Si</v>
          </cell>
          <cell r="T136" t="str">
            <v>EKONOMI</v>
          </cell>
        </row>
        <row r="139">
          <cell r="S139" t="str">
            <v>ISTER TRI WAHYUNI,SE</v>
          </cell>
          <cell r="T139" t="str">
            <v>PEMBANGUNAN</v>
          </cell>
        </row>
        <row r="140">
          <cell r="S140" t="str">
            <v>WELSON,S.Pt</v>
          </cell>
          <cell r="T140" t="str">
            <v>PEMBANGUNAN</v>
          </cell>
        </row>
        <row r="141">
          <cell r="S141" t="str">
            <v>FRANKLIN,SE</v>
          </cell>
          <cell r="T141" t="str">
            <v>PEMBANGUNAN</v>
          </cell>
        </row>
        <row r="142">
          <cell r="S142" t="str">
            <v>WELSON,S.Pt</v>
          </cell>
          <cell r="T142" t="str">
            <v>PEMBANGUNAN</v>
          </cell>
        </row>
        <row r="143">
          <cell r="S143" t="str">
            <v>WELSON,S.Pt</v>
          </cell>
          <cell r="T143" t="str">
            <v>PEMBANGUNAN</v>
          </cell>
        </row>
        <row r="144">
          <cell r="S144" t="str">
            <v>WELSON,S.Pt</v>
          </cell>
          <cell r="T144" t="str">
            <v>PEMBANGUNAN</v>
          </cell>
        </row>
        <row r="147">
          <cell r="S147" t="str">
            <v>RESTU GODMAN</v>
          </cell>
          <cell r="T147" t="str">
            <v>KESRA</v>
          </cell>
        </row>
        <row r="148">
          <cell r="S148" t="str">
            <v>MUHAMMAD ALFANI,SE</v>
          </cell>
          <cell r="T148" t="str">
            <v>KESRA</v>
          </cell>
        </row>
        <row r="149">
          <cell r="S149" t="str">
            <v>MUHAMMAD ALFANI,SE</v>
          </cell>
          <cell r="T149" t="str">
            <v>KESRA</v>
          </cell>
        </row>
        <row r="150">
          <cell r="S150" t="str">
            <v>H.ABDUL KOHAR,S.Pd</v>
          </cell>
          <cell r="T150" t="str">
            <v>KESRA</v>
          </cell>
        </row>
        <row r="151">
          <cell r="S151" t="str">
            <v>ELGA NATALIA TAHAN.S,Sos</v>
          </cell>
          <cell r="T151" t="str">
            <v>KESRA</v>
          </cell>
        </row>
        <row r="152">
          <cell r="S152" t="str">
            <v>RESTU GODMAN</v>
          </cell>
          <cell r="T152" t="str">
            <v>KESRA</v>
          </cell>
        </row>
        <row r="153">
          <cell r="S153" t="str">
            <v>MUHAMMAD ALFANI,SE</v>
          </cell>
          <cell r="T153" t="str">
            <v>KESRA</v>
          </cell>
        </row>
        <row r="154">
          <cell r="S154" t="str">
            <v>REDIMAN,S.STP</v>
          </cell>
          <cell r="T154" t="str">
            <v>KESRA</v>
          </cell>
        </row>
        <row r="155">
          <cell r="S155" t="str">
            <v>MUHAMMAD ALFANI,SE</v>
          </cell>
          <cell r="T155" t="str">
            <v>KESRA</v>
          </cell>
        </row>
        <row r="156">
          <cell r="S156" t="str">
            <v>ELGA NATALIA TAHAN.S,Sos</v>
          </cell>
          <cell r="T156" t="str">
            <v>KESRA</v>
          </cell>
        </row>
        <row r="159">
          <cell r="S159" t="str">
            <v>MUHAMMAD ALFANI,SE</v>
          </cell>
        </row>
        <row r="160">
          <cell r="S160" t="str">
            <v>H.ABDUL KOHAR,S.Pd</v>
          </cell>
          <cell r="T160" t="str">
            <v>KESRA</v>
          </cell>
        </row>
        <row r="161">
          <cell r="S161" t="str">
            <v>ELGA NATALIA TAHAN.S,Sos</v>
          </cell>
          <cell r="T161" t="str">
            <v>KESRA</v>
          </cell>
        </row>
        <row r="162">
          <cell r="S162" t="str">
            <v>REDIMAN,S.STP</v>
          </cell>
          <cell r="T162" t="str">
            <v>KESRA</v>
          </cell>
        </row>
        <row r="163">
          <cell r="S163" t="str">
            <v>TONY GRATIAS</v>
          </cell>
          <cell r="T163" t="str">
            <v>PERLENGKAPAN</v>
          </cell>
        </row>
        <row r="164">
          <cell r="S164" t="str">
            <v>RESTU GODMAN</v>
          </cell>
          <cell r="T164" t="str">
            <v>KESRA</v>
          </cell>
        </row>
        <row r="165">
          <cell r="S165" t="str">
            <v>MUHAMMAD ALFANI,SE</v>
          </cell>
          <cell r="T165" t="str">
            <v>KESRA</v>
          </cell>
        </row>
        <row r="168">
          <cell r="S168" t="str">
            <v>TITUS WELSI</v>
          </cell>
          <cell r="T168" t="str">
            <v>UMUM</v>
          </cell>
        </row>
        <row r="169">
          <cell r="S169" t="str">
            <v>GUSNIWADI,SH</v>
          </cell>
          <cell r="T169" t="str">
            <v>PERLENGKAPAN</v>
          </cell>
        </row>
        <row r="170">
          <cell r="S170" t="str">
            <v>TONY GRATIAS</v>
          </cell>
          <cell r="T170" t="str">
            <v>PERLENGKAPAN</v>
          </cell>
        </row>
        <row r="171">
          <cell r="S171" t="str">
            <v>TITUS WELSI</v>
          </cell>
          <cell r="T171" t="str">
            <v>UMUM</v>
          </cell>
        </row>
        <row r="172">
          <cell r="S172" t="str">
            <v>TRI SANTOSO,S.STP</v>
          </cell>
          <cell r="T172" t="str">
            <v>UMUM</v>
          </cell>
        </row>
        <row r="173">
          <cell r="S173" t="str">
            <v>TITUS WELSI</v>
          </cell>
          <cell r="T173" t="str">
            <v>UMUM</v>
          </cell>
        </row>
        <row r="176">
          <cell r="S176" t="str">
            <v>HARSONO, S.IP</v>
          </cell>
          <cell r="T176" t="str">
            <v>PEMERINTAHAN</v>
          </cell>
        </row>
        <row r="179">
          <cell r="S179" t="str">
            <v>ARITUA B.N,S.STP, M.Si</v>
          </cell>
          <cell r="T179" t="str">
            <v>ORGANISASI</v>
          </cell>
        </row>
        <row r="180">
          <cell r="S180" t="str">
            <v>ARITUA B.N,S.STP, M.Si</v>
          </cell>
          <cell r="T180" t="str">
            <v>ORGANISASI</v>
          </cell>
        </row>
        <row r="181">
          <cell r="S181" t="str">
            <v>ARITUA B.N,S.STP, M.Si</v>
          </cell>
          <cell r="T181" t="str">
            <v>ORGANISASI</v>
          </cell>
        </row>
        <row r="182">
          <cell r="S182" t="str">
            <v>REDIMAN,S.STP</v>
          </cell>
          <cell r="T182" t="str">
            <v>KESRA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ode Pengadaan"/>
      <sheetName val="LOKASI"/>
      <sheetName val="Nama SKPD"/>
      <sheetName val="COVER LL"/>
      <sheetName val="Bantuan"/>
      <sheetName val="A1"/>
      <sheetName val="A2"/>
      <sheetName val="A3"/>
      <sheetName val="A4"/>
      <sheetName val="B"/>
      <sheetName val="B1"/>
      <sheetName val="B2"/>
      <sheetName val="B3"/>
      <sheetName val="B6"/>
      <sheetName val="B8"/>
      <sheetName val="C"/>
      <sheetName val="C.1..."/>
      <sheetName val="C.2 ...."/>
      <sheetName val="C.3 ....."/>
      <sheetName val="D"/>
      <sheetName val="DK1"/>
      <sheetName val="DK"/>
      <sheetName val="D1"/>
      <sheetName val="D2"/>
      <sheetName val="Kurva S BTL-BL 2012"/>
      <sheetName val="Kurva S BTL-BL 2013"/>
      <sheetName val="Kurva S BL"/>
      <sheetName val="F"/>
      <sheetName val="F1"/>
      <sheetName val="TEP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M306"/>
  <sheetViews>
    <sheetView tabSelected="1" view="pageBreakPreview" topLeftCell="D92" zoomScale="96" zoomScaleNormal="89" zoomScaleSheetLayoutView="96" workbookViewId="0">
      <pane xSplit="7128" ySplit="756" topLeftCell="M103" activePane="bottomRight"/>
      <selection activeCell="D92" sqref="D92"/>
      <selection pane="topRight" activeCell="G92" sqref="G92"/>
      <selection pane="bottomLeft" activeCell="D94" sqref="D94"/>
      <selection pane="bottomRight" activeCell="J116" sqref="J116"/>
    </sheetView>
  </sheetViews>
  <sheetFormatPr defaultRowHeight="13.2" x14ac:dyDescent="0.25"/>
  <cols>
    <col min="1" max="1" width="3" style="236" customWidth="1"/>
    <col min="2" max="2" width="2.88671875" style="237" customWidth="1"/>
    <col min="3" max="3" width="4.88671875" style="237" customWidth="1"/>
    <col min="4" max="4" width="2.6640625" style="237" customWidth="1"/>
    <col min="5" max="5" width="2.33203125" style="237" customWidth="1"/>
    <col min="6" max="6" width="59.88671875" style="238" customWidth="1"/>
    <col min="7" max="7" width="74.88671875" style="239" bestFit="1" customWidth="1"/>
    <col min="8" max="8" width="6.6640625" style="240" bestFit="1" customWidth="1"/>
    <col min="9" max="9" width="5.109375" style="237" bestFit="1" customWidth="1"/>
    <col min="10" max="10" width="16.44140625" style="238" bestFit="1" customWidth="1"/>
    <col min="11" max="11" width="4.109375" style="238" bestFit="1" customWidth="1"/>
    <col min="12" max="12" width="10" style="238" bestFit="1" customWidth="1"/>
    <col min="13" max="13" width="11.109375" style="238" bestFit="1" customWidth="1"/>
    <col min="14" max="14" width="5" style="241" customWidth="1"/>
    <col min="15" max="15" width="11.6640625" style="241" bestFit="1" customWidth="1"/>
    <col min="16" max="16" width="14.5546875" style="242" bestFit="1" customWidth="1"/>
    <col min="17" max="17" width="14.5546875" style="243" bestFit="1" customWidth="1"/>
    <col min="18" max="18" width="15" style="244" customWidth="1"/>
    <col min="19" max="19" width="6.6640625" style="246" customWidth="1"/>
    <col min="20" max="20" width="12.6640625" style="245" customWidth="1"/>
    <col min="21" max="21" width="10.88671875" style="246" bestFit="1" customWidth="1"/>
    <col min="22" max="22" width="25.6640625" style="12" customWidth="1"/>
    <col min="23" max="23" width="22.33203125" style="13" customWidth="1"/>
  </cols>
  <sheetData>
    <row r="1" spans="1:23" s="14" customFormat="1" x14ac:dyDescent="0.25">
      <c r="A1" s="1"/>
      <c r="B1" s="2"/>
      <c r="C1" s="2"/>
      <c r="D1" s="2"/>
      <c r="E1" s="2"/>
      <c r="F1" s="3"/>
      <c r="G1" s="4"/>
      <c r="H1" s="5"/>
      <c r="I1" s="2"/>
      <c r="J1" s="6"/>
      <c r="K1" s="6"/>
      <c r="L1" s="6"/>
      <c r="M1" s="6"/>
      <c r="N1" s="6"/>
      <c r="O1" s="6"/>
      <c r="P1" s="7"/>
      <c r="Q1" s="8"/>
      <c r="R1" s="9"/>
      <c r="S1" s="10"/>
      <c r="T1" s="11"/>
      <c r="U1" s="10"/>
      <c r="V1" s="12"/>
      <c r="W1" s="13"/>
    </row>
    <row r="2" spans="1:23" s="14" customFormat="1" ht="20.399999999999999" x14ac:dyDescent="0.35">
      <c r="A2" s="15" t="s">
        <v>0</v>
      </c>
      <c r="B2" s="15"/>
      <c r="C2" s="15"/>
      <c r="D2" s="15"/>
      <c r="E2" s="15"/>
      <c r="F2" s="16"/>
      <c r="G2" s="17"/>
      <c r="H2" s="17"/>
      <c r="I2" s="17"/>
      <c r="J2" s="15"/>
      <c r="K2" s="15"/>
      <c r="L2" s="15"/>
      <c r="M2" s="15"/>
      <c r="N2" s="15"/>
      <c r="O2" s="16"/>
      <c r="P2" s="16"/>
      <c r="Q2" s="16"/>
      <c r="R2" s="15"/>
      <c r="S2" s="16"/>
      <c r="T2" s="16"/>
      <c r="U2" s="16"/>
      <c r="V2" s="12"/>
      <c r="W2" s="13"/>
    </row>
    <row r="3" spans="1:23" s="14" customFormat="1" ht="20.399999999999999" x14ac:dyDescent="0.35">
      <c r="A3" s="15" t="s">
        <v>1</v>
      </c>
      <c r="B3" s="15"/>
      <c r="C3" s="15"/>
      <c r="D3" s="15"/>
      <c r="E3" s="15"/>
      <c r="F3" s="16"/>
      <c r="G3" s="17"/>
      <c r="H3" s="17"/>
      <c r="I3" s="17"/>
      <c r="J3" s="15"/>
      <c r="K3" s="15"/>
      <c r="L3" s="15"/>
      <c r="M3" s="15"/>
      <c r="N3" s="15"/>
      <c r="O3" s="16"/>
      <c r="P3" s="16"/>
      <c r="Q3" s="16"/>
      <c r="R3" s="15"/>
      <c r="S3" s="16"/>
      <c r="T3" s="16"/>
      <c r="U3" s="16"/>
      <c r="V3" s="12"/>
      <c r="W3" s="13"/>
    </row>
    <row r="4" spans="1:23" s="14" customFormat="1" ht="20.399999999999999" x14ac:dyDescent="0.35">
      <c r="A4" s="15" t="s">
        <v>2</v>
      </c>
      <c r="B4" s="15"/>
      <c r="C4" s="15"/>
      <c r="D4" s="15"/>
      <c r="E4" s="15"/>
      <c r="F4" s="16"/>
      <c r="G4" s="17"/>
      <c r="H4" s="17"/>
      <c r="I4" s="17"/>
      <c r="J4" s="15"/>
      <c r="K4" s="15"/>
      <c r="L4" s="15"/>
      <c r="M4" s="15"/>
      <c r="N4" s="15"/>
      <c r="O4" s="16"/>
      <c r="P4" s="16"/>
      <c r="Q4" s="16"/>
      <c r="R4" s="15"/>
      <c r="S4" s="16"/>
      <c r="T4" s="16"/>
      <c r="U4" s="16"/>
      <c r="V4" s="12"/>
      <c r="W4" s="13"/>
    </row>
    <row r="5" spans="1:23" s="14" customFormat="1" x14ac:dyDescent="0.25">
      <c r="A5" s="1"/>
      <c r="B5" s="2"/>
      <c r="C5" s="2"/>
      <c r="D5" s="2"/>
      <c r="E5" s="2"/>
      <c r="F5" s="18"/>
      <c r="G5" s="19"/>
      <c r="H5" s="5"/>
      <c r="I5" s="2"/>
      <c r="J5" s="1"/>
      <c r="K5" s="1"/>
      <c r="L5" s="1"/>
      <c r="M5" s="1"/>
      <c r="N5" s="1"/>
      <c r="O5" s="1"/>
      <c r="P5" s="20"/>
      <c r="Q5" s="21"/>
      <c r="R5" s="9"/>
      <c r="S5" s="22"/>
      <c r="T5" s="23"/>
      <c r="U5" s="22"/>
      <c r="V5" s="12"/>
      <c r="W5" s="13"/>
    </row>
    <row r="6" spans="1:23" s="14" customFormat="1" x14ac:dyDescent="0.25">
      <c r="A6" s="1"/>
      <c r="B6" s="2"/>
      <c r="C6" s="2"/>
      <c r="D6" s="2"/>
      <c r="E6" s="2"/>
      <c r="F6" s="24"/>
      <c r="G6" s="4"/>
      <c r="H6" s="5"/>
      <c r="I6" s="2"/>
      <c r="J6" s="6"/>
      <c r="K6" s="6"/>
      <c r="L6" s="6"/>
      <c r="M6" s="6"/>
      <c r="N6" s="6"/>
      <c r="O6" s="6"/>
      <c r="P6" s="7"/>
      <c r="Q6" s="8"/>
      <c r="R6" s="25"/>
      <c r="S6" s="26"/>
      <c r="T6" s="11"/>
      <c r="U6" s="26"/>
      <c r="V6" s="12"/>
      <c r="W6" s="13"/>
    </row>
    <row r="7" spans="1:23" s="14" customFormat="1" x14ac:dyDescent="0.25">
      <c r="A7" s="1"/>
      <c r="B7" s="2"/>
      <c r="C7" s="2"/>
      <c r="D7" s="2"/>
      <c r="E7" s="2"/>
      <c r="F7" s="24"/>
      <c r="G7" s="4"/>
      <c r="H7" s="5"/>
      <c r="I7" s="2"/>
      <c r="J7" s="6"/>
      <c r="K7" s="6"/>
      <c r="L7" s="6"/>
      <c r="M7" s="6"/>
      <c r="N7" s="6"/>
      <c r="O7" s="6"/>
      <c r="P7" s="7"/>
      <c r="Q7" s="8"/>
      <c r="R7" s="25"/>
      <c r="S7" s="26"/>
      <c r="T7" s="11"/>
      <c r="U7" s="26"/>
      <c r="V7" s="12"/>
      <c r="W7" s="13"/>
    </row>
    <row r="8" spans="1:23" s="14" customFormat="1" x14ac:dyDescent="0.25">
      <c r="A8" s="27" t="s">
        <v>3</v>
      </c>
      <c r="B8" s="27"/>
      <c r="C8" s="27"/>
      <c r="D8" s="27"/>
      <c r="E8" s="27"/>
      <c r="F8" s="27"/>
      <c r="G8" s="27"/>
      <c r="H8" s="5"/>
      <c r="I8" s="2"/>
      <c r="J8" s="6"/>
      <c r="K8" s="6"/>
      <c r="L8" s="6"/>
      <c r="M8" s="6"/>
      <c r="N8" s="6"/>
      <c r="O8" s="6"/>
      <c r="P8" s="7"/>
      <c r="Q8" s="8"/>
      <c r="R8" s="25"/>
      <c r="S8" s="26"/>
      <c r="T8" s="11"/>
      <c r="U8" s="26"/>
      <c r="V8" s="12"/>
      <c r="W8" s="13"/>
    </row>
    <row r="9" spans="1:23" s="14" customFormat="1" ht="7.2" customHeight="1" x14ac:dyDescent="0.25">
      <c r="A9" s="28"/>
      <c r="B9" s="29"/>
      <c r="C9" s="29"/>
      <c r="D9" s="29"/>
      <c r="E9" s="29"/>
      <c r="F9" s="30"/>
      <c r="G9" s="31"/>
      <c r="H9" s="32"/>
      <c r="I9" s="29"/>
      <c r="J9" s="33"/>
      <c r="K9" s="33"/>
      <c r="L9" s="33"/>
      <c r="M9" s="33"/>
      <c r="N9" s="33"/>
      <c r="O9" s="33"/>
      <c r="P9" s="34"/>
      <c r="Q9" s="35"/>
      <c r="R9" s="36"/>
      <c r="S9" s="37"/>
      <c r="T9" s="38"/>
      <c r="U9" s="37"/>
      <c r="V9" s="12"/>
      <c r="W9" s="13"/>
    </row>
    <row r="10" spans="1:23" ht="13.2" customHeight="1" x14ac:dyDescent="0.25">
      <c r="A10" s="39" t="s">
        <v>4</v>
      </c>
      <c r="B10" s="40" t="s">
        <v>5</v>
      </c>
      <c r="C10" s="41"/>
      <c r="D10" s="41"/>
      <c r="E10" s="42"/>
      <c r="F10" s="39" t="s">
        <v>6</v>
      </c>
      <c r="G10" s="43" t="s">
        <v>7</v>
      </c>
      <c r="H10" s="44" t="s">
        <v>8</v>
      </c>
      <c r="I10" s="45"/>
      <c r="J10" s="46"/>
      <c r="K10" s="47" t="s">
        <v>9</v>
      </c>
      <c r="L10" s="48"/>
      <c r="M10" s="49"/>
      <c r="N10" s="47" t="s">
        <v>10</v>
      </c>
      <c r="O10" s="48"/>
      <c r="P10" s="48"/>
      <c r="Q10" s="48"/>
      <c r="R10" s="49"/>
      <c r="S10" s="48"/>
      <c r="T10" s="48"/>
      <c r="U10" s="49"/>
      <c r="V10" s="50" t="s">
        <v>11</v>
      </c>
      <c r="W10" s="50" t="s">
        <v>12</v>
      </c>
    </row>
    <row r="11" spans="1:23" s="63" customFormat="1" x14ac:dyDescent="0.25">
      <c r="A11" s="51"/>
      <c r="B11" s="52"/>
      <c r="C11" s="53"/>
      <c r="D11" s="53"/>
      <c r="E11" s="54"/>
      <c r="F11" s="51"/>
      <c r="G11" s="55"/>
      <c r="H11" s="56"/>
      <c r="I11" s="57"/>
      <c r="J11" s="58"/>
      <c r="K11" s="59"/>
      <c r="L11" s="60"/>
      <c r="M11" s="61"/>
      <c r="N11" s="59"/>
      <c r="O11" s="60"/>
      <c r="P11" s="60"/>
      <c r="Q11" s="60"/>
      <c r="R11" s="61"/>
      <c r="S11" s="60"/>
      <c r="T11" s="60"/>
      <c r="U11" s="61"/>
      <c r="V11" s="62"/>
      <c r="W11" s="62"/>
    </row>
    <row r="12" spans="1:23" s="63" customFormat="1" x14ac:dyDescent="0.25">
      <c r="A12" s="51"/>
      <c r="B12" s="52"/>
      <c r="C12" s="53"/>
      <c r="D12" s="53"/>
      <c r="E12" s="54"/>
      <c r="F12" s="51"/>
      <c r="G12" s="55"/>
      <c r="H12" s="56"/>
      <c r="I12" s="57"/>
      <c r="J12" s="58"/>
      <c r="K12" s="59"/>
      <c r="L12" s="60"/>
      <c r="M12" s="61"/>
      <c r="N12" s="59"/>
      <c r="O12" s="60"/>
      <c r="P12" s="60"/>
      <c r="Q12" s="60"/>
      <c r="R12" s="61"/>
      <c r="S12" s="65"/>
      <c r="T12" s="65"/>
      <c r="U12" s="66"/>
      <c r="V12" s="62"/>
      <c r="W12" s="62"/>
    </row>
    <row r="13" spans="1:23" s="63" customFormat="1" ht="13.2" customHeight="1" x14ac:dyDescent="0.25">
      <c r="A13" s="51"/>
      <c r="B13" s="52"/>
      <c r="C13" s="53"/>
      <c r="D13" s="53"/>
      <c r="E13" s="54"/>
      <c r="F13" s="51"/>
      <c r="G13" s="55"/>
      <c r="H13" s="56"/>
      <c r="I13" s="57"/>
      <c r="J13" s="58"/>
      <c r="K13" s="59"/>
      <c r="L13" s="60"/>
      <c r="M13" s="61"/>
      <c r="N13" s="59"/>
      <c r="O13" s="60"/>
      <c r="P13" s="60"/>
      <c r="Q13" s="60"/>
      <c r="R13" s="61"/>
      <c r="S13" s="47" t="s">
        <v>236</v>
      </c>
      <c r="T13" s="48"/>
      <c r="U13" s="48"/>
      <c r="V13" s="62"/>
      <c r="W13" s="62"/>
    </row>
    <row r="14" spans="1:23" s="63" customFormat="1" x14ac:dyDescent="0.25">
      <c r="A14" s="67"/>
      <c r="B14" s="52"/>
      <c r="C14" s="53"/>
      <c r="D14" s="53"/>
      <c r="E14" s="54"/>
      <c r="F14" s="67"/>
      <c r="G14" s="68"/>
      <c r="H14" s="69"/>
      <c r="I14" s="70"/>
      <c r="J14" s="71"/>
      <c r="K14" s="64"/>
      <c r="L14" s="65"/>
      <c r="M14" s="66"/>
      <c r="N14" s="64"/>
      <c r="O14" s="65"/>
      <c r="P14" s="65"/>
      <c r="Q14" s="65"/>
      <c r="R14" s="66"/>
      <c r="S14" s="64"/>
      <c r="T14" s="65"/>
      <c r="U14" s="65"/>
      <c r="V14" s="72"/>
      <c r="W14" s="72"/>
    </row>
    <row r="15" spans="1:23" s="83" customFormat="1" ht="15.6" customHeight="1" x14ac:dyDescent="0.25">
      <c r="A15" s="73">
        <v>1</v>
      </c>
      <c r="B15" s="74">
        <v>2</v>
      </c>
      <c r="C15" s="75"/>
      <c r="D15" s="75"/>
      <c r="E15" s="76"/>
      <c r="F15" s="77">
        <v>3</v>
      </c>
      <c r="G15" s="78">
        <v>4</v>
      </c>
      <c r="H15" s="74">
        <v>5</v>
      </c>
      <c r="I15" s="75"/>
      <c r="J15" s="76"/>
      <c r="K15" s="74">
        <v>6</v>
      </c>
      <c r="L15" s="75"/>
      <c r="M15" s="76"/>
      <c r="N15" s="79">
        <v>7</v>
      </c>
      <c r="O15" s="79"/>
      <c r="P15" s="79"/>
      <c r="Q15" s="79"/>
      <c r="R15" s="79"/>
      <c r="S15" s="79">
        <v>9</v>
      </c>
      <c r="T15" s="79"/>
      <c r="U15" s="80"/>
      <c r="V15" s="81"/>
      <c r="W15" s="82"/>
    </row>
    <row r="16" spans="1:23" s="97" customFormat="1" ht="15" customHeight="1" x14ac:dyDescent="0.25">
      <c r="A16" s="84"/>
      <c r="B16" s="85"/>
      <c r="C16" s="85"/>
      <c r="D16" s="85"/>
      <c r="E16" s="85"/>
      <c r="F16" s="86"/>
      <c r="G16" s="87"/>
      <c r="H16" s="88" t="s">
        <v>13</v>
      </c>
      <c r="I16" s="89"/>
      <c r="J16" s="90" t="s">
        <v>14</v>
      </c>
      <c r="K16" s="88" t="s">
        <v>13</v>
      </c>
      <c r="L16" s="89"/>
      <c r="M16" s="90" t="s">
        <v>14</v>
      </c>
      <c r="N16" s="88" t="s">
        <v>13</v>
      </c>
      <c r="O16" s="89"/>
      <c r="P16" s="90" t="s">
        <v>14</v>
      </c>
      <c r="Q16" s="91" t="s">
        <v>14</v>
      </c>
      <c r="R16" s="90"/>
      <c r="S16" s="92" t="s">
        <v>13</v>
      </c>
      <c r="T16" s="93"/>
      <c r="U16" s="94" t="s">
        <v>14</v>
      </c>
      <c r="V16" s="95"/>
      <c r="W16" s="96"/>
    </row>
    <row r="17" spans="1:23" s="110" customFormat="1" ht="38.25" hidden="1" customHeight="1" x14ac:dyDescent="0.25">
      <c r="A17" s="98"/>
      <c r="B17" s="99"/>
      <c r="C17" s="99"/>
      <c r="D17" s="99"/>
      <c r="E17" s="99"/>
      <c r="F17" s="100"/>
      <c r="G17" s="101"/>
      <c r="H17" s="102"/>
      <c r="I17" s="103"/>
      <c r="J17" s="104"/>
      <c r="K17" s="105"/>
      <c r="L17" s="105"/>
      <c r="M17" s="105"/>
      <c r="N17" s="105"/>
      <c r="O17" s="106"/>
      <c r="P17" s="106" t="s">
        <v>15</v>
      </c>
      <c r="Q17" s="107" t="s">
        <v>16</v>
      </c>
      <c r="R17" s="98" t="s">
        <v>17</v>
      </c>
      <c r="S17" s="105"/>
      <c r="T17" s="106"/>
      <c r="U17" s="105"/>
      <c r="V17" s="108"/>
      <c r="W17" s="109"/>
    </row>
    <row r="18" spans="1:23" s="97" customFormat="1" ht="38.25" customHeight="1" x14ac:dyDescent="0.25">
      <c r="A18" s="111"/>
      <c r="B18" s="112"/>
      <c r="C18" s="112"/>
      <c r="D18" s="112"/>
      <c r="E18" s="112"/>
      <c r="F18" s="111" t="s">
        <v>18</v>
      </c>
      <c r="G18" s="113" t="s">
        <v>19</v>
      </c>
      <c r="H18" s="114" t="s">
        <v>20</v>
      </c>
      <c r="I18" s="115"/>
      <c r="J18" s="111" t="s">
        <v>21</v>
      </c>
      <c r="K18" s="114" t="s">
        <v>22</v>
      </c>
      <c r="L18" s="116"/>
      <c r="M18" s="115"/>
      <c r="N18" s="117" t="s">
        <v>23</v>
      </c>
      <c r="O18" s="118"/>
      <c r="P18" s="119" t="s">
        <v>24</v>
      </c>
      <c r="Q18" s="120" t="s">
        <v>25</v>
      </c>
      <c r="R18" s="111" t="s">
        <v>17</v>
      </c>
      <c r="S18" s="114" t="s">
        <v>26</v>
      </c>
      <c r="T18" s="115"/>
      <c r="U18" s="121"/>
      <c r="V18" s="122"/>
      <c r="W18" s="123"/>
    </row>
    <row r="19" spans="1:23" s="97" customFormat="1" ht="15.6" customHeight="1" x14ac:dyDescent="0.25">
      <c r="A19" s="84"/>
      <c r="B19" s="85"/>
      <c r="C19" s="85"/>
      <c r="D19" s="85"/>
      <c r="E19" s="85"/>
      <c r="F19" s="124" t="s">
        <v>27</v>
      </c>
      <c r="G19" s="125" t="s">
        <v>28</v>
      </c>
      <c r="H19" s="126">
        <v>100</v>
      </c>
      <c r="I19" s="127"/>
      <c r="J19" s="127">
        <f>SUM(J20:J37)</f>
        <v>55998723.511</v>
      </c>
      <c r="K19" s="126">
        <v>100</v>
      </c>
      <c r="L19" s="128"/>
      <c r="M19" s="127">
        <f>SUM(M20:M37)</f>
        <v>10841387.384</v>
      </c>
      <c r="N19" s="129">
        <v>100</v>
      </c>
      <c r="O19" s="130"/>
      <c r="P19" s="127">
        <f>SUM(P20:P37)</f>
        <v>10134762.058999998</v>
      </c>
      <c r="Q19" s="131">
        <f>SUM(Q20:Q37)</f>
        <v>17442736.193999998</v>
      </c>
      <c r="R19" s="127">
        <f>SUM(R20:R37)</f>
        <v>-7307974.1349999988</v>
      </c>
      <c r="S19" s="129"/>
      <c r="T19" s="132"/>
      <c r="U19" s="133">
        <f>SUM(U20:U37)</f>
        <v>0</v>
      </c>
      <c r="V19" s="134"/>
      <c r="W19" s="135"/>
    </row>
    <row r="20" spans="1:23" s="97" customFormat="1" ht="15.6" customHeight="1" x14ac:dyDescent="0.25">
      <c r="A20" s="136"/>
      <c r="B20" s="137"/>
      <c r="C20" s="137"/>
      <c r="D20" s="137"/>
      <c r="E20" s="137"/>
      <c r="F20" s="138" t="str">
        <f>[1]Mei!$B$38</f>
        <v>Penyed. Jasa Surat Menyurat</v>
      </c>
      <c r="G20" s="139" t="s">
        <v>29</v>
      </c>
      <c r="H20" s="140">
        <v>54000</v>
      </c>
      <c r="I20" s="141" t="s">
        <v>30</v>
      </c>
      <c r="J20" s="141">
        <f>282240000/1000</f>
        <v>282240</v>
      </c>
      <c r="K20" s="142">
        <v>12</v>
      </c>
      <c r="L20" s="143" t="s">
        <v>31</v>
      </c>
      <c r="M20" s="144">
        <f>36300000/1000</f>
        <v>36300</v>
      </c>
      <c r="N20" s="145">
        <v>12</v>
      </c>
      <c r="O20" s="146" t="s">
        <v>31</v>
      </c>
      <c r="P20" s="147">
        <f>50000000/1000</f>
        <v>50000</v>
      </c>
      <c r="Q20" s="148">
        <f>50000000/1000</f>
        <v>50000</v>
      </c>
      <c r="R20" s="149">
        <f>P20-Q20</f>
        <v>0</v>
      </c>
      <c r="S20" s="150" t="s">
        <v>32</v>
      </c>
      <c r="T20" s="146" t="s">
        <v>31</v>
      </c>
      <c r="U20" s="151"/>
      <c r="V20" s="152" t="str">
        <f>'[2]data PPTK'!S16</f>
        <v>RUSMIATI,SE</v>
      </c>
      <c r="W20" s="153" t="str">
        <f>'[2]data PPTK'!T16</f>
        <v>KEUANGAN</v>
      </c>
    </row>
    <row r="21" spans="1:23" s="97" customFormat="1" ht="15.6" customHeight="1" x14ac:dyDescent="0.25">
      <c r="A21" s="136"/>
      <c r="B21" s="137"/>
      <c r="C21" s="137"/>
      <c r="D21" s="137"/>
      <c r="E21" s="137"/>
      <c r="F21" s="154" t="s">
        <v>33</v>
      </c>
      <c r="G21" s="155"/>
      <c r="H21" s="140">
        <v>5000</v>
      </c>
      <c r="I21" s="141"/>
      <c r="J21" s="141"/>
      <c r="K21" s="142">
        <v>0</v>
      </c>
      <c r="L21" s="143"/>
      <c r="M21" s="144"/>
      <c r="N21" s="145"/>
      <c r="O21" s="146"/>
      <c r="P21" s="147"/>
      <c r="Q21" s="148">
        <v>0</v>
      </c>
      <c r="R21" s="149">
        <f t="shared" ref="R21:R110" si="0">P21-Q21</f>
        <v>0</v>
      </c>
      <c r="S21" s="156"/>
      <c r="T21" s="146"/>
      <c r="U21" s="151"/>
      <c r="V21" s="152"/>
      <c r="W21" s="157"/>
    </row>
    <row r="22" spans="1:23" s="97" customFormat="1" ht="15.6" customHeight="1" x14ac:dyDescent="0.25">
      <c r="A22" s="136"/>
      <c r="B22" s="137"/>
      <c r="C22" s="137"/>
      <c r="D22" s="137"/>
      <c r="E22" s="137"/>
      <c r="F22" s="155" t="str">
        <f>[1]Mei!$B$42</f>
        <v>Penyed. Jasa Komunikasi, Sumber Daya Air dan Listrik</v>
      </c>
      <c r="G22" s="139" t="s">
        <v>34</v>
      </c>
      <c r="H22" s="140">
        <v>60</v>
      </c>
      <c r="I22" s="140"/>
      <c r="J22" s="140">
        <f>2924056012/1000</f>
        <v>2924056.0120000001</v>
      </c>
      <c r="K22" s="158">
        <v>12</v>
      </c>
      <c r="L22" s="143" t="s">
        <v>31</v>
      </c>
      <c r="M22" s="158">
        <f>818559940/1000</f>
        <v>818559.94</v>
      </c>
      <c r="N22" s="145">
        <v>12</v>
      </c>
      <c r="O22" s="146" t="s">
        <v>31</v>
      </c>
      <c r="P22" s="159">
        <f>941041416/1000</f>
        <v>941041.41599999997</v>
      </c>
      <c r="Q22" s="148">
        <f>1398000000/1000</f>
        <v>1398000</v>
      </c>
      <c r="R22" s="149">
        <f>P22-Q22</f>
        <v>-456958.58400000003</v>
      </c>
      <c r="S22" s="150" t="s">
        <v>32</v>
      </c>
      <c r="T22" s="146" t="s">
        <v>31</v>
      </c>
      <c r="U22" s="150" t="s">
        <v>32</v>
      </c>
      <c r="V22" s="152" t="str">
        <f>'[2]data PPTK'!S17</f>
        <v>IKA WIJAYANTI,SE</v>
      </c>
      <c r="W22" s="153" t="str">
        <f>'[2]data PPTK'!T17</f>
        <v>UMUM</v>
      </c>
    </row>
    <row r="23" spans="1:23" s="97" customFormat="1" ht="15.6" customHeight="1" x14ac:dyDescent="0.25">
      <c r="A23" s="136"/>
      <c r="B23" s="137"/>
      <c r="C23" s="137"/>
      <c r="D23" s="137"/>
      <c r="E23" s="137"/>
      <c r="F23" s="155" t="str">
        <f>[1]Mei!$B$48</f>
        <v>Penyediaan Jasa Peralatan &amp; Perlengk. Kantor</v>
      </c>
      <c r="G23" s="139" t="s">
        <v>35</v>
      </c>
      <c r="H23" s="140">
        <v>50</v>
      </c>
      <c r="I23" s="140"/>
      <c r="J23" s="140">
        <f>88224880/1000</f>
        <v>88224.88</v>
      </c>
      <c r="K23" s="158">
        <v>16</v>
      </c>
      <c r="L23" s="143" t="s">
        <v>36</v>
      </c>
      <c r="M23" s="158">
        <f>16000000/1000</f>
        <v>16000</v>
      </c>
      <c r="N23" s="145">
        <v>15</v>
      </c>
      <c r="O23" s="146" t="s">
        <v>36</v>
      </c>
      <c r="P23" s="159">
        <f>16000000/1000</f>
        <v>16000</v>
      </c>
      <c r="Q23" s="148">
        <f>16000000/1000</f>
        <v>16000</v>
      </c>
      <c r="R23" s="149">
        <f t="shared" si="0"/>
        <v>0</v>
      </c>
      <c r="S23" s="150" t="s">
        <v>32</v>
      </c>
      <c r="T23" s="146" t="s">
        <v>36</v>
      </c>
      <c r="U23" s="150" t="s">
        <v>32</v>
      </c>
      <c r="V23" s="152" t="str">
        <f>'[2]data PPTK'!S18</f>
        <v>JHONI HARDI,S.Hut</v>
      </c>
      <c r="W23" s="153" t="str">
        <f>'[2]data PPTK'!T18</f>
        <v>UMUM</v>
      </c>
    </row>
    <row r="24" spans="1:23" s="97" customFormat="1" ht="15.6" customHeight="1" x14ac:dyDescent="0.25">
      <c r="A24" s="136"/>
      <c r="B24" s="137"/>
      <c r="C24" s="137"/>
      <c r="D24" s="137"/>
      <c r="E24" s="137"/>
      <c r="F24" s="160" t="s">
        <v>37</v>
      </c>
      <c r="G24" s="155"/>
      <c r="H24" s="140">
        <v>25</v>
      </c>
      <c r="I24" s="140"/>
      <c r="J24" s="140"/>
      <c r="K24" s="158">
        <v>0</v>
      </c>
      <c r="L24" s="143" t="s">
        <v>36</v>
      </c>
      <c r="M24" s="158"/>
      <c r="N24" s="161"/>
      <c r="O24" s="161"/>
      <c r="P24" s="161"/>
      <c r="Q24" s="148"/>
      <c r="R24" s="149"/>
      <c r="S24" s="156"/>
      <c r="T24" s="161"/>
      <c r="U24" s="151"/>
      <c r="V24" s="152"/>
      <c r="W24" s="157"/>
    </row>
    <row r="25" spans="1:23" s="97" customFormat="1" ht="15.6" customHeight="1" x14ac:dyDescent="0.25">
      <c r="A25" s="136"/>
      <c r="B25" s="137"/>
      <c r="C25" s="137"/>
      <c r="D25" s="137"/>
      <c r="E25" s="137"/>
      <c r="F25" s="155" t="str">
        <f>[1]Mei!$B$52</f>
        <v>Penyed. Jasa Administrasi Keu</v>
      </c>
      <c r="G25" s="139" t="s">
        <v>38</v>
      </c>
      <c r="H25" s="140">
        <v>60</v>
      </c>
      <c r="I25" s="140"/>
      <c r="J25" s="140">
        <f>7120557303/1000</f>
        <v>7120557.3030000003</v>
      </c>
      <c r="K25" s="158">
        <v>12</v>
      </c>
      <c r="L25" s="143" t="s">
        <v>36</v>
      </c>
      <c r="M25" s="158">
        <f>1164699000/1000</f>
        <v>1164699</v>
      </c>
      <c r="N25" s="145">
        <v>12</v>
      </c>
      <c r="O25" s="146" t="s">
        <v>31</v>
      </c>
      <c r="P25" s="159">
        <f>1253427264/1000</f>
        <v>1253427.264</v>
      </c>
      <c r="Q25" s="148">
        <f>7198192692/1000</f>
        <v>7198192.6919999998</v>
      </c>
      <c r="R25" s="149">
        <f>P25-Q25</f>
        <v>-5944765.4279999994</v>
      </c>
      <c r="S25" s="150" t="s">
        <v>32</v>
      </c>
      <c r="T25" s="146" t="s">
        <v>31</v>
      </c>
      <c r="U25" s="150" t="s">
        <v>32</v>
      </c>
      <c r="V25" s="152" t="str">
        <f>'[2]data PPTK'!S19</f>
        <v>SUSILAWATI,SE</v>
      </c>
      <c r="W25" s="153" t="str">
        <f>'[2]data PPTK'!T19</f>
        <v>KEUANGAN</v>
      </c>
    </row>
    <row r="26" spans="1:23" s="97" customFormat="1" ht="15.6" customHeight="1" x14ac:dyDescent="0.25">
      <c r="A26" s="136"/>
      <c r="B26" s="137"/>
      <c r="C26" s="137"/>
      <c r="D26" s="137"/>
      <c r="E26" s="137"/>
      <c r="F26" s="155" t="str">
        <f>[1]Mei!$B$57</f>
        <v>Penyed. Jasa Kebersihan Kantor</v>
      </c>
      <c r="G26" s="139" t="s">
        <v>39</v>
      </c>
      <c r="H26" s="140">
        <v>60</v>
      </c>
      <c r="I26" s="140"/>
      <c r="J26" s="140">
        <f>1973183040/1000</f>
        <v>1973183.04</v>
      </c>
      <c r="K26" s="158">
        <v>27</v>
      </c>
      <c r="L26" s="143" t="s">
        <v>40</v>
      </c>
      <c r="M26" s="158">
        <f>273975000/1000</f>
        <v>273975</v>
      </c>
      <c r="N26" s="145">
        <v>30</v>
      </c>
      <c r="O26" s="146" t="s">
        <v>40</v>
      </c>
      <c r="P26" s="159">
        <f>585000000/1000</f>
        <v>585000</v>
      </c>
      <c r="Q26" s="148">
        <f>678569280/1000</f>
        <v>678569.28</v>
      </c>
      <c r="R26" s="149">
        <f t="shared" si="0"/>
        <v>-93569.280000000028</v>
      </c>
      <c r="S26" s="150" t="s">
        <v>32</v>
      </c>
      <c r="T26" s="146" t="s">
        <v>40</v>
      </c>
      <c r="U26" s="150" t="s">
        <v>32</v>
      </c>
      <c r="V26" s="152" t="str">
        <f>'[2]data PPTK'!S20</f>
        <v>SUSILAWATI,SE</v>
      </c>
      <c r="W26" s="153" t="str">
        <f>'[2]data PPTK'!T20</f>
        <v>KEUANGAN</v>
      </c>
    </row>
    <row r="27" spans="1:23" s="97" customFormat="1" ht="15.6" customHeight="1" x14ac:dyDescent="0.25">
      <c r="A27" s="136"/>
      <c r="B27" s="137"/>
      <c r="C27" s="137"/>
      <c r="D27" s="137"/>
      <c r="E27" s="137"/>
      <c r="F27" s="155" t="str">
        <f>[1]Mei!$B$61</f>
        <v>Penyediaan Alat Tulis Kantor</v>
      </c>
      <c r="G27" s="162" t="s">
        <v>41</v>
      </c>
      <c r="H27" s="140">
        <v>60</v>
      </c>
      <c r="I27" s="140"/>
      <c r="J27" s="140">
        <f>1212411357/1000</f>
        <v>1212411.3570000001</v>
      </c>
      <c r="K27" s="158">
        <v>12</v>
      </c>
      <c r="L27" s="143" t="s">
        <v>36</v>
      </c>
      <c r="M27" s="158">
        <f>203599000/1000</f>
        <v>203599</v>
      </c>
      <c r="N27" s="145">
        <v>12</v>
      </c>
      <c r="O27" s="146" t="s">
        <v>31</v>
      </c>
      <c r="P27" s="163">
        <f>221199979/1000</f>
        <v>221199.97899999999</v>
      </c>
      <c r="Q27" s="148">
        <f>218199979/1000</f>
        <v>218199.97899999999</v>
      </c>
      <c r="R27" s="149">
        <f t="shared" si="0"/>
        <v>3000</v>
      </c>
      <c r="S27" s="150" t="s">
        <v>32</v>
      </c>
      <c r="T27" s="146" t="s">
        <v>31</v>
      </c>
      <c r="U27" s="150" t="s">
        <v>32</v>
      </c>
      <c r="V27" s="152" t="str">
        <f>'[2]data PPTK'!S21</f>
        <v>GUSNIWADI,SH</v>
      </c>
      <c r="W27" s="153" t="str">
        <f>'[2]data PPTK'!T21</f>
        <v>PERLENGKAPAN</v>
      </c>
    </row>
    <row r="28" spans="1:23" s="97" customFormat="1" ht="15.6" customHeight="1" x14ac:dyDescent="0.25">
      <c r="A28" s="136"/>
      <c r="B28" s="137"/>
      <c r="C28" s="137"/>
      <c r="D28" s="137"/>
      <c r="E28" s="137"/>
      <c r="F28" s="155" t="str">
        <f>[1]Mei!$B$64</f>
        <v>Penyediaan Barang Cetakan dan Penggandaan</v>
      </c>
      <c r="G28" s="139" t="s">
        <v>42</v>
      </c>
      <c r="H28" s="140">
        <v>60</v>
      </c>
      <c r="I28" s="140"/>
      <c r="J28" s="140">
        <f>849564920/1000</f>
        <v>849564.92</v>
      </c>
      <c r="K28" s="158">
        <v>12</v>
      </c>
      <c r="L28" s="143" t="s">
        <v>36</v>
      </c>
      <c r="M28" s="158">
        <f>145784000/1000</f>
        <v>145784</v>
      </c>
      <c r="N28" s="145">
        <v>12</v>
      </c>
      <c r="O28" s="146" t="s">
        <v>31</v>
      </c>
      <c r="P28" s="163">
        <f>155000000/1000</f>
        <v>155000</v>
      </c>
      <c r="Q28" s="148">
        <f>140000000/1000</f>
        <v>140000</v>
      </c>
      <c r="R28" s="149">
        <f t="shared" si="0"/>
        <v>15000</v>
      </c>
      <c r="S28" s="150" t="s">
        <v>32</v>
      </c>
      <c r="T28" s="146" t="s">
        <v>31</v>
      </c>
      <c r="U28" s="150" t="s">
        <v>32</v>
      </c>
      <c r="V28" s="152" t="str">
        <f>'[2]data PPTK'!S22</f>
        <v>RUSMIATI,SE</v>
      </c>
      <c r="W28" s="153" t="str">
        <f>'[2]data PPTK'!T22</f>
        <v>KEUANGAN</v>
      </c>
    </row>
    <row r="29" spans="1:23" s="97" customFormat="1" ht="15.6" customHeight="1" x14ac:dyDescent="0.25">
      <c r="A29" s="136"/>
      <c r="B29" s="137"/>
      <c r="C29" s="137"/>
      <c r="D29" s="137"/>
      <c r="E29" s="137"/>
      <c r="F29" s="155" t="str">
        <f>[1]Mei!$B$69</f>
        <v>Penyed. Komp. Instalasi Listrik &amp; Penerangan Bangunan Kantor</v>
      </c>
      <c r="G29" s="139" t="s">
        <v>43</v>
      </c>
      <c r="H29" s="140">
        <v>60</v>
      </c>
      <c r="I29" s="140"/>
      <c r="J29" s="140">
        <f>137851375/1000</f>
        <v>137851.375</v>
      </c>
      <c r="K29" s="158">
        <v>12</v>
      </c>
      <c r="L29" s="143" t="s">
        <v>36</v>
      </c>
      <c r="M29" s="164">
        <f>38020500/1000</f>
        <v>38020.5</v>
      </c>
      <c r="N29" s="145">
        <v>12</v>
      </c>
      <c r="O29" s="146" t="s">
        <v>31</v>
      </c>
      <c r="P29" s="163">
        <f>25000004/1000</f>
        <v>25000.004000000001</v>
      </c>
      <c r="Q29" s="148">
        <f>25000004/1000</f>
        <v>25000.004000000001</v>
      </c>
      <c r="R29" s="149">
        <f t="shared" si="0"/>
        <v>0</v>
      </c>
      <c r="S29" s="150" t="s">
        <v>32</v>
      </c>
      <c r="T29" s="146" t="s">
        <v>31</v>
      </c>
      <c r="U29" s="150" t="s">
        <v>32</v>
      </c>
      <c r="V29" s="152" t="str">
        <f>'[2]data PPTK'!S23</f>
        <v>ACHMAD SA'DUDDIN, S.Akt</v>
      </c>
      <c r="W29" s="153" t="str">
        <f>'[2]data PPTK'!T23</f>
        <v>PERLENGKAPAN</v>
      </c>
    </row>
    <row r="30" spans="1:23" s="97" customFormat="1" ht="15.6" customHeight="1" x14ac:dyDescent="0.25">
      <c r="A30" s="136"/>
      <c r="B30" s="137"/>
      <c r="C30" s="137"/>
      <c r="D30" s="137"/>
      <c r="E30" s="137"/>
      <c r="F30" s="165" t="str">
        <f>[1]Mei!$B$72</f>
        <v>Penyed. Peralatan &amp; Perlengk Ktr</v>
      </c>
      <c r="G30" s="166" t="s">
        <v>44</v>
      </c>
      <c r="H30" s="159">
        <v>60</v>
      </c>
      <c r="I30" s="159"/>
      <c r="J30" s="159">
        <f>13265790799/1000</f>
        <v>13265790.799000001</v>
      </c>
      <c r="K30" s="159">
        <v>12</v>
      </c>
      <c r="L30" s="143" t="s">
        <v>36</v>
      </c>
      <c r="M30" s="159">
        <f>2444907750/1000</f>
        <v>2444907.75</v>
      </c>
      <c r="N30" s="145">
        <v>12</v>
      </c>
      <c r="O30" s="146" t="s">
        <v>31</v>
      </c>
      <c r="P30" s="163">
        <f>1421100000/1000</f>
        <v>1421100</v>
      </c>
      <c r="Q30" s="148">
        <f>2082100000/1000</f>
        <v>2082100</v>
      </c>
      <c r="R30" s="149">
        <f t="shared" si="0"/>
        <v>-661000</v>
      </c>
      <c r="S30" s="150" t="s">
        <v>32</v>
      </c>
      <c r="T30" s="146" t="s">
        <v>31</v>
      </c>
      <c r="U30" s="150" t="s">
        <v>32</v>
      </c>
      <c r="V30" s="152" t="str">
        <f>'[2]data PPTK'!S24</f>
        <v>ARNADIN,S.Hut</v>
      </c>
      <c r="W30" s="153" t="str">
        <f>'[2]data PPTK'!T24</f>
        <v>PERLENGKAPAN</v>
      </c>
    </row>
    <row r="31" spans="1:23" s="97" customFormat="1" ht="15.6" customHeight="1" x14ac:dyDescent="0.25">
      <c r="A31" s="136"/>
      <c r="B31" s="137"/>
      <c r="C31" s="137"/>
      <c r="D31" s="137"/>
      <c r="E31" s="137"/>
      <c r="F31" s="165" t="str">
        <f>[1]Mei!$B$90</f>
        <v>Penyed. Peralatan Rumah Tangga</v>
      </c>
      <c r="G31" s="166" t="s">
        <v>45</v>
      </c>
      <c r="H31" s="159">
        <v>60</v>
      </c>
      <c r="I31" s="159"/>
      <c r="J31" s="159">
        <f>248132475/1000</f>
        <v>248132.47500000001</v>
      </c>
      <c r="K31" s="159">
        <v>12</v>
      </c>
      <c r="L31" s="143" t="s">
        <v>36</v>
      </c>
      <c r="M31" s="159">
        <f>44970000/1000</f>
        <v>44970</v>
      </c>
      <c r="N31" s="145">
        <v>12</v>
      </c>
      <c r="O31" s="146" t="s">
        <v>31</v>
      </c>
      <c r="P31" s="163">
        <f>45000000/1000</f>
        <v>45000</v>
      </c>
      <c r="Q31" s="148">
        <f>45000000/1000</f>
        <v>45000</v>
      </c>
      <c r="R31" s="149">
        <f t="shared" si="0"/>
        <v>0</v>
      </c>
      <c r="S31" s="150" t="s">
        <v>32</v>
      </c>
      <c r="T31" s="146" t="s">
        <v>31</v>
      </c>
      <c r="U31" s="150" t="s">
        <v>32</v>
      </c>
      <c r="V31" s="152" t="str">
        <f>'[2]data PPTK'!S25</f>
        <v>SUSILAWATI,SE</v>
      </c>
      <c r="W31" s="153" t="str">
        <f>'[2]data PPTK'!T25</f>
        <v>KEUANGAN</v>
      </c>
    </row>
    <row r="32" spans="1:23" s="97" customFormat="1" ht="15.6" customHeight="1" x14ac:dyDescent="0.25">
      <c r="A32" s="136"/>
      <c r="B32" s="137"/>
      <c r="C32" s="137"/>
      <c r="D32" s="137"/>
      <c r="E32" s="137"/>
      <c r="F32" s="165" t="str">
        <f>[1]Mei!$B$93</f>
        <v>Penyed. Makanan dan Minuman</v>
      </c>
      <c r="G32" s="166" t="s">
        <v>46</v>
      </c>
      <c r="H32" s="159">
        <v>60</v>
      </c>
      <c r="I32" s="159"/>
      <c r="J32" s="159">
        <f>3595614448/1000</f>
        <v>3595614.4479999999</v>
      </c>
      <c r="K32" s="159">
        <v>12</v>
      </c>
      <c r="L32" s="143" t="s">
        <v>36</v>
      </c>
      <c r="M32" s="159">
        <f>636159000/1000</f>
        <v>636159</v>
      </c>
      <c r="N32" s="145">
        <v>12</v>
      </c>
      <c r="O32" s="146" t="s">
        <v>31</v>
      </c>
      <c r="P32" s="163">
        <f>423990000/1000</f>
        <v>423990</v>
      </c>
      <c r="Q32" s="148">
        <f>423990000/1000</f>
        <v>423990</v>
      </c>
      <c r="R32" s="149">
        <f t="shared" si="0"/>
        <v>0</v>
      </c>
      <c r="S32" s="150" t="s">
        <v>32</v>
      </c>
      <c r="T32" s="146" t="s">
        <v>31</v>
      </c>
      <c r="U32" s="150" t="s">
        <v>32</v>
      </c>
      <c r="V32" s="152" t="str">
        <f>'[2]data PPTK'!S26</f>
        <v>JHONI HARDI,S.Hut</v>
      </c>
      <c r="W32" s="153" t="str">
        <f>'[2]data PPTK'!T26</f>
        <v>UMUM</v>
      </c>
    </row>
    <row r="33" spans="1:39" s="97" customFormat="1" ht="15.6" customHeight="1" x14ac:dyDescent="0.25">
      <c r="A33" s="136"/>
      <c r="B33" s="137"/>
      <c r="C33" s="137"/>
      <c r="D33" s="137"/>
      <c r="E33" s="137"/>
      <c r="F33" s="165" t="str">
        <f>[1]Mei!$B$97</f>
        <v>Rapat2 Koordinasi &amp; Konsultasi Keluar Daerah</v>
      </c>
      <c r="G33" s="166" t="s">
        <v>47</v>
      </c>
      <c r="H33" s="159">
        <v>1490</v>
      </c>
      <c r="I33" s="159"/>
      <c r="J33" s="159">
        <f>7627302200/1000</f>
        <v>7627302.2000000002</v>
      </c>
      <c r="K33" s="159">
        <v>424</v>
      </c>
      <c r="L33" s="143" t="s">
        <v>36</v>
      </c>
      <c r="M33" s="159">
        <f>2041832351/1000</f>
        <v>2041832.351</v>
      </c>
      <c r="N33" s="145">
        <v>300</v>
      </c>
      <c r="O33" s="146" t="s">
        <v>36</v>
      </c>
      <c r="P33" s="163">
        <f>1730000000/1000</f>
        <v>1730000</v>
      </c>
      <c r="Q33" s="148">
        <f>1730000000/1000</f>
        <v>1730000</v>
      </c>
      <c r="R33" s="149">
        <f t="shared" si="0"/>
        <v>0</v>
      </c>
      <c r="S33" s="150" t="s">
        <v>32</v>
      </c>
      <c r="T33" s="146" t="s">
        <v>36</v>
      </c>
      <c r="U33" s="150" t="s">
        <v>32</v>
      </c>
      <c r="V33" s="152" t="str">
        <f>'[2]data PPTK'!S27</f>
        <v>SUSILAWATI,SE</v>
      </c>
      <c r="W33" s="153" t="str">
        <f>'[2]data PPTK'!T27</f>
        <v>KEUANGAN</v>
      </c>
    </row>
    <row r="34" spans="1:39" s="97" customFormat="1" ht="15.6" customHeight="1" x14ac:dyDescent="0.25">
      <c r="A34" s="136"/>
      <c r="B34" s="137"/>
      <c r="C34" s="137"/>
      <c r="D34" s="137"/>
      <c r="E34" s="137"/>
      <c r="F34" s="165" t="str">
        <f>[1]Mei!$B$100</f>
        <v>Rapat Koordinasi Dalam Daerah</v>
      </c>
      <c r="G34" s="166" t="s">
        <v>48</v>
      </c>
      <c r="H34" s="159">
        <v>1995</v>
      </c>
      <c r="I34" s="159"/>
      <c r="J34" s="159">
        <f>3501424925/1000</f>
        <v>3501424.9249999998</v>
      </c>
      <c r="K34" s="159">
        <v>415</v>
      </c>
      <c r="L34" s="143" t="s">
        <v>36</v>
      </c>
      <c r="M34" s="159">
        <f>634402500/1000</f>
        <v>634402.5</v>
      </c>
      <c r="N34" s="145">
        <v>400</v>
      </c>
      <c r="O34" s="146" t="s">
        <v>36</v>
      </c>
      <c r="P34" s="163">
        <f>635000000/1000</f>
        <v>635000</v>
      </c>
      <c r="Q34" s="148">
        <f>635000000/1000</f>
        <v>635000</v>
      </c>
      <c r="R34" s="149">
        <f t="shared" si="0"/>
        <v>0</v>
      </c>
      <c r="S34" s="150" t="s">
        <v>32</v>
      </c>
      <c r="T34" s="146" t="s">
        <v>36</v>
      </c>
      <c r="U34" s="150" t="s">
        <v>32</v>
      </c>
      <c r="V34" s="152" t="str">
        <f>'[2]data PPTK'!S28</f>
        <v>SUSILAWATI,SE</v>
      </c>
      <c r="W34" s="153" t="str">
        <f>'[2]data PPTK'!T28</f>
        <v>KEUANGAN</v>
      </c>
    </row>
    <row r="35" spans="1:39" s="97" customFormat="1" ht="15.6" customHeight="1" x14ac:dyDescent="0.25">
      <c r="A35" s="136"/>
      <c r="B35" s="137"/>
      <c r="C35" s="137"/>
      <c r="D35" s="137"/>
      <c r="E35" s="137"/>
      <c r="F35" s="165" t="str">
        <f>[1]Mei!$B$103</f>
        <v xml:space="preserve">Pengelolaan Unit Layanan Pengadaan </v>
      </c>
      <c r="G35" s="166" t="s">
        <v>49</v>
      </c>
      <c r="H35" s="159">
        <v>60</v>
      </c>
      <c r="I35" s="159"/>
      <c r="J35" s="159">
        <f>6907787542/1000</f>
        <v>6907787.5420000004</v>
      </c>
      <c r="K35" s="159">
        <v>12</v>
      </c>
      <c r="L35" s="143" t="s">
        <v>31</v>
      </c>
      <c r="M35" s="159">
        <f>1105141454/1000</f>
        <v>1105141.4539999999</v>
      </c>
      <c r="N35" s="145">
        <v>12</v>
      </c>
      <c r="O35" s="146" t="s">
        <v>31</v>
      </c>
      <c r="P35" s="167">
        <f>1202760000/1000</f>
        <v>1202760</v>
      </c>
      <c r="Q35" s="148">
        <f>1224460224/1000</f>
        <v>1224460.2239999999</v>
      </c>
      <c r="R35" s="149">
        <f t="shared" si="0"/>
        <v>-21700.223999999929</v>
      </c>
      <c r="S35" s="150" t="s">
        <v>32</v>
      </c>
      <c r="T35" s="146" t="s">
        <v>31</v>
      </c>
      <c r="U35" s="150" t="s">
        <v>32</v>
      </c>
      <c r="V35" s="152" t="str">
        <f>'[2]data PPTK'!S29</f>
        <v>MEMEI, SE</v>
      </c>
      <c r="W35" s="153" t="str">
        <f>'[2]data PPTK'!T29</f>
        <v>ULP</v>
      </c>
    </row>
    <row r="36" spans="1:39" s="97" customFormat="1" ht="15.6" customHeight="1" x14ac:dyDescent="0.25">
      <c r="A36" s="136"/>
      <c r="B36" s="137"/>
      <c r="C36" s="137"/>
      <c r="D36" s="137"/>
      <c r="E36" s="137"/>
      <c r="F36" s="165" t="str">
        <f>[1]Mei!$B$113</f>
        <v>Rapat - rapat Koord. dan Konsultasi ke Luar Negeri</v>
      </c>
      <c r="G36" s="166" t="s">
        <v>50</v>
      </c>
      <c r="H36" s="159"/>
      <c r="I36" s="159"/>
      <c r="J36" s="159"/>
      <c r="K36" s="159">
        <v>0</v>
      </c>
      <c r="L36" s="143"/>
      <c r="M36" s="159">
        <v>0</v>
      </c>
      <c r="N36" s="145">
        <v>1</v>
      </c>
      <c r="O36" s="146" t="s">
        <v>36</v>
      </c>
      <c r="P36" s="163">
        <f>125000000/1000</f>
        <v>125000</v>
      </c>
      <c r="Q36" s="148">
        <f>125000000/1000</f>
        <v>125000</v>
      </c>
      <c r="R36" s="149">
        <f t="shared" si="0"/>
        <v>0</v>
      </c>
      <c r="S36" s="150" t="s">
        <v>32</v>
      </c>
      <c r="T36" s="146" t="s">
        <v>36</v>
      </c>
      <c r="U36" s="150" t="s">
        <v>32</v>
      </c>
      <c r="V36" s="152" t="str">
        <f>'[2]data PPTK'!S30</f>
        <v>JHONI HARDI,S.Hut</v>
      </c>
      <c r="W36" s="153" t="str">
        <f>'[2]data PPTK'!T30</f>
        <v>UMUM</v>
      </c>
    </row>
    <row r="37" spans="1:39" s="97" customFormat="1" ht="15.6" customHeight="1" x14ac:dyDescent="0.25">
      <c r="A37" s="136"/>
      <c r="B37" s="137"/>
      <c r="C37" s="137"/>
      <c r="D37" s="137"/>
      <c r="E37" s="137"/>
      <c r="F37" s="165" t="str">
        <f>[1]Mei!$B$116</f>
        <v>Pengelolaan LPSE</v>
      </c>
      <c r="G37" s="166" t="s">
        <v>51</v>
      </c>
      <c r="H37" s="159">
        <v>60</v>
      </c>
      <c r="I37" s="159"/>
      <c r="J37" s="159">
        <f>6264582235/1000</f>
        <v>6264582.2350000003</v>
      </c>
      <c r="K37" s="159">
        <v>12</v>
      </c>
      <c r="L37" s="143" t="s">
        <v>31</v>
      </c>
      <c r="M37" s="159">
        <f>1237036889/1000</f>
        <v>1237036.889</v>
      </c>
      <c r="N37" s="145">
        <v>12</v>
      </c>
      <c r="O37" s="146" t="s">
        <v>31</v>
      </c>
      <c r="P37" s="167">
        <f>1305243396/1000</f>
        <v>1305243.3959999999</v>
      </c>
      <c r="Q37" s="148">
        <f>1453224015/1000</f>
        <v>1453224.0149999999</v>
      </c>
      <c r="R37" s="149">
        <f t="shared" si="0"/>
        <v>-147980.61899999995</v>
      </c>
      <c r="S37" s="150" t="s">
        <v>32</v>
      </c>
      <c r="T37" s="146" t="s">
        <v>31</v>
      </c>
      <c r="U37" s="150" t="s">
        <v>32</v>
      </c>
      <c r="V37" s="152" t="str">
        <f>'[2]data PPTK'!S31</f>
        <v>IKA WIJAYANTI,SE</v>
      </c>
      <c r="W37" s="153" t="str">
        <f>'[2]data PPTK'!T31</f>
        <v>UMUM</v>
      </c>
    </row>
    <row r="38" spans="1:39" s="173" customFormat="1" ht="13.2" customHeight="1" x14ac:dyDescent="0.2">
      <c r="A38" s="168" t="s">
        <v>52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70"/>
      <c r="W38" s="171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</row>
    <row r="39" spans="1:39" s="173" customFormat="1" ht="13.2" customHeight="1" x14ac:dyDescent="0.2">
      <c r="A39" s="168" t="s">
        <v>53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70"/>
      <c r="W39" s="171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</row>
    <row r="40" spans="1:39" s="97" customFormat="1" ht="15.6" customHeight="1" x14ac:dyDescent="0.25">
      <c r="A40" s="84"/>
      <c r="B40" s="85"/>
      <c r="C40" s="85"/>
      <c r="D40" s="85"/>
      <c r="E40" s="85"/>
      <c r="F40" s="174" t="s">
        <v>54</v>
      </c>
      <c r="G40" s="125" t="s">
        <v>55</v>
      </c>
      <c r="H40" s="126">
        <v>100</v>
      </c>
      <c r="I40" s="126"/>
      <c r="J40" s="126">
        <f>SUM(J41:J52)</f>
        <v>26198456.748</v>
      </c>
      <c r="K40" s="126">
        <v>100</v>
      </c>
      <c r="L40" s="128"/>
      <c r="M40" s="126">
        <f>SUM(M41:M52)</f>
        <v>11137311.334999999</v>
      </c>
      <c r="N40" s="129">
        <v>100</v>
      </c>
      <c r="O40" s="130"/>
      <c r="P40" s="126">
        <f>SUM(P41:P52)</f>
        <v>19458240.719000001</v>
      </c>
      <c r="Q40" s="126">
        <f>SUM(Q41:Q52)</f>
        <v>12778278.758999998</v>
      </c>
      <c r="R40" s="175">
        <f t="shared" si="0"/>
        <v>6679961.9600000028</v>
      </c>
      <c r="S40" s="129"/>
      <c r="T40" s="132"/>
      <c r="U40" s="176">
        <f>SUM(U41:U52)</f>
        <v>0</v>
      </c>
      <c r="V40" s="134"/>
      <c r="W40" s="135"/>
    </row>
    <row r="41" spans="1:39" s="97" customFormat="1" ht="15.6" customHeight="1" x14ac:dyDescent="0.25">
      <c r="A41" s="136"/>
      <c r="B41" s="137"/>
      <c r="C41" s="137"/>
      <c r="D41" s="137"/>
      <c r="E41" s="137"/>
      <c r="F41" s="155" t="str">
        <f>[1]Mei!$B$136</f>
        <v>Pembangunan Rumah Dinas</v>
      </c>
      <c r="G41" s="177" t="s">
        <v>56</v>
      </c>
      <c r="H41" s="140">
        <v>4</v>
      </c>
      <c r="I41" s="140"/>
      <c r="J41" s="140">
        <f>850000000/1000</f>
        <v>850000</v>
      </c>
      <c r="K41" s="158">
        <v>9</v>
      </c>
      <c r="L41" s="143"/>
      <c r="M41" s="158">
        <f>3463000285/1000</f>
        <v>3463000.2850000001</v>
      </c>
      <c r="N41" s="145">
        <v>4</v>
      </c>
      <c r="O41" s="146" t="s">
        <v>57</v>
      </c>
      <c r="P41" s="159">
        <f>3948578687/1000</f>
        <v>3948578.6869999999</v>
      </c>
      <c r="Q41" s="148">
        <f>4486424470/1000</f>
        <v>4486424.47</v>
      </c>
      <c r="R41" s="149">
        <f t="shared" si="0"/>
        <v>-537845.78299999982</v>
      </c>
      <c r="S41" s="150" t="s">
        <v>32</v>
      </c>
      <c r="T41" s="146" t="s">
        <v>57</v>
      </c>
      <c r="U41" s="150" t="s">
        <v>32</v>
      </c>
      <c r="V41" s="152" t="str">
        <f>'[2]data PPTK'!S34</f>
        <v>ARNADIN,S.Hut</v>
      </c>
      <c r="W41" s="153" t="str">
        <f>'[2]data PPTK'!T34</f>
        <v>PERLENGKAPAN</v>
      </c>
    </row>
    <row r="42" spans="1:39" s="97" customFormat="1" ht="15.6" customHeight="1" x14ac:dyDescent="0.25">
      <c r="A42" s="136"/>
      <c r="B42" s="137"/>
      <c r="C42" s="137"/>
      <c r="D42" s="137"/>
      <c r="E42" s="137"/>
      <c r="F42" s="165" t="str">
        <f>[1]Mei!$B$141</f>
        <v>Pembangunan Gedung Kantor</v>
      </c>
      <c r="G42" s="177" t="s">
        <v>58</v>
      </c>
      <c r="H42" s="140">
        <v>16</v>
      </c>
      <c r="I42" s="140"/>
      <c r="J42" s="140">
        <f>8515526996/1000</f>
        <v>8515526.9959999993</v>
      </c>
      <c r="K42" s="158">
        <v>9</v>
      </c>
      <c r="L42" s="143"/>
      <c r="M42" s="158">
        <f>3531184642/1000</f>
        <v>3531184.642</v>
      </c>
      <c r="N42" s="145">
        <v>5</v>
      </c>
      <c r="O42" s="146" t="s">
        <v>59</v>
      </c>
      <c r="P42" s="159">
        <f>5058532000/1000</f>
        <v>5058532</v>
      </c>
      <c r="Q42" s="148">
        <f>3181532000/1000</f>
        <v>3181532</v>
      </c>
      <c r="R42" s="149">
        <f t="shared" si="0"/>
        <v>1877000</v>
      </c>
      <c r="S42" s="150" t="s">
        <v>32</v>
      </c>
      <c r="T42" s="146" t="s">
        <v>59</v>
      </c>
      <c r="U42" s="150" t="s">
        <v>32</v>
      </c>
      <c r="V42" s="152" t="str">
        <f>'[2]data PPTK'!S35</f>
        <v>ARNADIN,S.Hut</v>
      </c>
      <c r="W42" s="153" t="str">
        <f>'[2]data PPTK'!T35</f>
        <v>PERLENGKAPAN</v>
      </c>
    </row>
    <row r="43" spans="1:39" s="97" customFormat="1" ht="15.6" customHeight="1" x14ac:dyDescent="0.25">
      <c r="A43" s="136"/>
      <c r="B43" s="137"/>
      <c r="C43" s="137"/>
      <c r="D43" s="137"/>
      <c r="E43" s="137"/>
      <c r="F43" s="155" t="str">
        <f>[1]Mei!$B$147</f>
        <v>Pengadaan Kendaraan Dinas / Operasional</v>
      </c>
      <c r="G43" s="177" t="s">
        <v>60</v>
      </c>
      <c r="H43" s="140">
        <v>40</v>
      </c>
      <c r="I43" s="140"/>
      <c r="J43" s="140">
        <f>6300000000/1000</f>
        <v>6300000</v>
      </c>
      <c r="K43" s="158">
        <v>11</v>
      </c>
      <c r="L43" s="146" t="s">
        <v>59</v>
      </c>
      <c r="M43" s="158">
        <f>2047391000/1000</f>
        <v>2047391</v>
      </c>
      <c r="N43" s="145">
        <v>18</v>
      </c>
      <c r="O43" s="146" t="s">
        <v>59</v>
      </c>
      <c r="P43" s="178">
        <f>6055700000/1000</f>
        <v>6055700</v>
      </c>
      <c r="Q43" s="148">
        <f>850000000/1000</f>
        <v>850000</v>
      </c>
      <c r="R43" s="149">
        <f t="shared" si="0"/>
        <v>5205700</v>
      </c>
      <c r="S43" s="150" t="s">
        <v>32</v>
      </c>
      <c r="T43" s="146" t="s">
        <v>59</v>
      </c>
      <c r="U43" s="150" t="s">
        <v>32</v>
      </c>
      <c r="V43" s="152" t="str">
        <f>'[2]data PPTK'!S36</f>
        <v>ARNADIN,S.Hut</v>
      </c>
      <c r="W43" s="153" t="str">
        <f>'[2]data PPTK'!T36</f>
        <v>PERLENGKAPAN</v>
      </c>
    </row>
    <row r="44" spans="1:39" s="97" customFormat="1" ht="15.6" customHeight="1" x14ac:dyDescent="0.25">
      <c r="A44" s="136"/>
      <c r="B44" s="137"/>
      <c r="C44" s="137"/>
      <c r="D44" s="137"/>
      <c r="E44" s="137"/>
      <c r="F44" s="155" t="str">
        <f>[1]Mei!$B$152</f>
        <v>Pem. Rutin/Berkala Rumah Dinas</v>
      </c>
      <c r="G44" s="177" t="s">
        <v>61</v>
      </c>
      <c r="H44" s="140">
        <v>200</v>
      </c>
      <c r="I44" s="140"/>
      <c r="J44" s="140">
        <f>104767045/1000</f>
        <v>104767.045</v>
      </c>
      <c r="K44" s="158">
        <v>246</v>
      </c>
      <c r="L44" s="146" t="s">
        <v>62</v>
      </c>
      <c r="M44" s="158">
        <f>18596000/1000</f>
        <v>18596</v>
      </c>
      <c r="N44" s="145">
        <v>200</v>
      </c>
      <c r="O44" s="146" t="s">
        <v>63</v>
      </c>
      <c r="P44" s="159">
        <f>19000000/1000</f>
        <v>19000</v>
      </c>
      <c r="Q44" s="148">
        <f>19000000/1000</f>
        <v>19000</v>
      </c>
      <c r="R44" s="149">
        <f t="shared" si="0"/>
        <v>0</v>
      </c>
      <c r="S44" s="150" t="s">
        <v>32</v>
      </c>
      <c r="T44" s="146" t="s">
        <v>63</v>
      </c>
      <c r="U44" s="150" t="s">
        <v>32</v>
      </c>
      <c r="V44" s="152" t="str">
        <f>'[2]data PPTK'!S37</f>
        <v>TONY GRATIAS</v>
      </c>
      <c r="W44" s="153" t="str">
        <f>'[2]data PPTK'!T37</f>
        <v>PERLENGKAPAN</v>
      </c>
    </row>
    <row r="45" spans="1:39" s="97" customFormat="1" ht="15.6" customHeight="1" x14ac:dyDescent="0.25">
      <c r="A45" s="136"/>
      <c r="B45" s="137"/>
      <c r="C45" s="137"/>
      <c r="D45" s="137"/>
      <c r="E45" s="137"/>
      <c r="F45" s="155" t="str">
        <f>[1]Mei!$B$155</f>
        <v>Pem. Rutin / Berkala Gedung Kantor</v>
      </c>
      <c r="G45" s="177" t="s">
        <v>64</v>
      </c>
      <c r="H45" s="140">
        <v>60</v>
      </c>
      <c r="I45" s="140"/>
      <c r="J45" s="140">
        <f>840893388/1000</f>
        <v>840893.38800000004</v>
      </c>
      <c r="K45" s="158">
        <v>0</v>
      </c>
      <c r="L45" s="143" t="s">
        <v>31</v>
      </c>
      <c r="M45" s="158">
        <f>255410000/1000</f>
        <v>255410</v>
      </c>
      <c r="N45" s="159" t="s">
        <v>65</v>
      </c>
      <c r="O45" s="146" t="s">
        <v>66</v>
      </c>
      <c r="P45" s="159">
        <f>202500000/1000</f>
        <v>202500</v>
      </c>
      <c r="Q45" s="148">
        <f>302500000/1000</f>
        <v>302500</v>
      </c>
      <c r="R45" s="149">
        <f t="shared" si="0"/>
        <v>-100000</v>
      </c>
      <c r="S45" s="150" t="s">
        <v>32</v>
      </c>
      <c r="T45" s="146" t="s">
        <v>66</v>
      </c>
      <c r="U45" s="150" t="s">
        <v>32</v>
      </c>
      <c r="V45" s="152" t="str">
        <f>'[2]data PPTK'!S38</f>
        <v>GUSNIWADI,SH</v>
      </c>
      <c r="W45" s="153" t="str">
        <f>'[2]data PPTK'!T38</f>
        <v>PERLENGKAPAN</v>
      </c>
    </row>
    <row r="46" spans="1:39" s="97" customFormat="1" ht="15.6" customHeight="1" x14ac:dyDescent="0.25">
      <c r="A46" s="136"/>
      <c r="B46" s="137"/>
      <c r="C46" s="137"/>
      <c r="D46" s="137"/>
      <c r="E46" s="137"/>
      <c r="F46" s="155" t="str">
        <f>[1]Mei!$B$158</f>
        <v>Pem. Rutin/Berkala Kend. Dinas / Operasional</v>
      </c>
      <c r="G46" s="177" t="s">
        <v>67</v>
      </c>
      <c r="H46" s="140">
        <v>36</v>
      </c>
      <c r="I46" s="140"/>
      <c r="J46" s="140">
        <f>3987102889/1000</f>
        <v>3987102.889</v>
      </c>
      <c r="K46" s="158">
        <v>36</v>
      </c>
      <c r="L46" s="146" t="s">
        <v>59</v>
      </c>
      <c r="M46" s="158">
        <f>680213654/1000</f>
        <v>680213.65399999998</v>
      </c>
      <c r="N46" s="145">
        <v>36</v>
      </c>
      <c r="O46" s="146" t="s">
        <v>59</v>
      </c>
      <c r="P46" s="159">
        <f>723080000/1000</f>
        <v>723080</v>
      </c>
      <c r="Q46" s="148">
        <f>723080000/1000</f>
        <v>723080</v>
      </c>
      <c r="R46" s="149">
        <f t="shared" si="0"/>
        <v>0</v>
      </c>
      <c r="S46" s="150" t="s">
        <v>32</v>
      </c>
      <c r="T46" s="146" t="s">
        <v>59</v>
      </c>
      <c r="U46" s="150" t="s">
        <v>32</v>
      </c>
      <c r="V46" s="152" t="str">
        <f>'[2]data PPTK'!S39</f>
        <v>GUSNIWADI,SH</v>
      </c>
      <c r="W46" s="153" t="str">
        <f>'[2]data PPTK'!T39</f>
        <v>PERLENGKAPAN</v>
      </c>
    </row>
    <row r="47" spans="1:39" s="97" customFormat="1" ht="15.6" customHeight="1" x14ac:dyDescent="0.25">
      <c r="A47" s="136"/>
      <c r="B47" s="137"/>
      <c r="C47" s="137"/>
      <c r="D47" s="137"/>
      <c r="E47" s="137"/>
      <c r="F47" s="155" t="str">
        <f>[1]Mei!$B$165</f>
        <v>Pem. Rutin/Berkala Peralatan Gdg Kantor</v>
      </c>
      <c r="G47" s="177" t="s">
        <v>68</v>
      </c>
      <c r="H47" s="140">
        <v>140</v>
      </c>
      <c r="I47" s="140"/>
      <c r="J47" s="140">
        <f>1246176430/1000</f>
        <v>1246176.43</v>
      </c>
      <c r="K47" s="158">
        <v>81</v>
      </c>
      <c r="L47" s="146" t="s">
        <v>59</v>
      </c>
      <c r="M47" s="158">
        <f>65550500/1000</f>
        <v>65550.5</v>
      </c>
      <c r="N47" s="145">
        <v>140</v>
      </c>
      <c r="O47" s="146" t="s">
        <v>59</v>
      </c>
      <c r="P47" s="159">
        <f>226000000/1000</f>
        <v>226000</v>
      </c>
      <c r="Q47" s="148">
        <f>144999987/1000</f>
        <v>144999.98699999999</v>
      </c>
      <c r="R47" s="149">
        <f t="shared" si="0"/>
        <v>81000.013000000006</v>
      </c>
      <c r="S47" s="150" t="s">
        <v>32</v>
      </c>
      <c r="T47" s="146" t="s">
        <v>59</v>
      </c>
      <c r="U47" s="150" t="s">
        <v>32</v>
      </c>
      <c r="V47" s="152" t="str">
        <f>'[2]data PPTK'!S40</f>
        <v>ARNADIN,S.Hut</v>
      </c>
      <c r="W47" s="153" t="str">
        <f>'[2]data PPTK'!T40</f>
        <v>PERLENGKAPAN</v>
      </c>
    </row>
    <row r="48" spans="1:39" s="161" customFormat="1" ht="15.6" customHeight="1" x14ac:dyDescent="0.25">
      <c r="A48" s="136"/>
      <c r="B48" s="137"/>
      <c r="C48" s="137"/>
      <c r="D48" s="137"/>
      <c r="E48" s="137"/>
      <c r="F48" s="179" t="s">
        <v>69</v>
      </c>
      <c r="G48" s="180" t="s">
        <v>70</v>
      </c>
      <c r="H48" s="159"/>
      <c r="I48" s="159"/>
      <c r="J48" s="159"/>
      <c r="K48" s="159"/>
      <c r="L48" s="146"/>
      <c r="M48" s="159"/>
      <c r="N48" s="145"/>
      <c r="O48" s="146"/>
      <c r="P48" s="159"/>
      <c r="Q48" s="148">
        <f>530892270/1000</f>
        <v>530892.27</v>
      </c>
      <c r="R48" s="149">
        <f t="shared" si="0"/>
        <v>-530892.27</v>
      </c>
      <c r="S48" s="150" t="s">
        <v>32</v>
      </c>
      <c r="T48" s="146"/>
      <c r="U48" s="150" t="s">
        <v>32</v>
      </c>
      <c r="V48" s="152" t="str">
        <f>'[2]data PPTK'!S41</f>
        <v>TITUS WELSI</v>
      </c>
      <c r="W48" s="153" t="str">
        <f>'[2]data PPTK'!T41</f>
        <v>UMUM</v>
      </c>
    </row>
    <row r="49" spans="1:39" s="97" customFormat="1" ht="15.6" customHeight="1" x14ac:dyDescent="0.25">
      <c r="A49" s="136"/>
      <c r="B49" s="137"/>
      <c r="C49" s="137"/>
      <c r="D49" s="137"/>
      <c r="E49" s="137"/>
      <c r="F49" s="155" t="str">
        <f>[1]Mei!$B$168</f>
        <v>Rehabilitasi Sedang / Berat Gedung Kantor</v>
      </c>
      <c r="G49" s="177" t="s">
        <v>71</v>
      </c>
      <c r="H49" s="140">
        <v>7</v>
      </c>
      <c r="I49" s="140"/>
      <c r="J49" s="140">
        <f>1224000000/1000</f>
        <v>1224000</v>
      </c>
      <c r="K49" s="158">
        <v>2</v>
      </c>
      <c r="L49" s="143"/>
      <c r="M49" s="158">
        <f>750651680/1000</f>
        <v>750651.68</v>
      </c>
      <c r="N49" s="145">
        <v>500</v>
      </c>
      <c r="O49" s="146" t="s">
        <v>63</v>
      </c>
      <c r="P49" s="159">
        <f>2394850032/1000</f>
        <v>2394850.0320000001</v>
      </c>
      <c r="Q49" s="148">
        <f>2494850032/1000</f>
        <v>2494850.0320000001</v>
      </c>
      <c r="R49" s="149">
        <f t="shared" si="0"/>
        <v>-100000</v>
      </c>
      <c r="S49" s="150" t="s">
        <v>32</v>
      </c>
      <c r="T49" s="146" t="s">
        <v>63</v>
      </c>
      <c r="U49" s="150" t="s">
        <v>32</v>
      </c>
      <c r="V49" s="152" t="str">
        <f>'[2]data PPTK'!S42</f>
        <v>GUSNIWADI,SH</v>
      </c>
      <c r="W49" s="153" t="str">
        <f>'[2]data PPTK'!T42</f>
        <v>PERLENGKAPAN</v>
      </c>
    </row>
    <row r="50" spans="1:39" s="97" customFormat="1" ht="15.6" customHeight="1" x14ac:dyDescent="0.25">
      <c r="A50" s="136"/>
      <c r="B50" s="137"/>
      <c r="C50" s="137"/>
      <c r="D50" s="137"/>
      <c r="E50" s="137"/>
      <c r="F50" s="155" t="str">
        <f>[1]Mei!$B$171</f>
        <v>Rehabilitasi Sedang / Berat Kend. Dinas / Operasional</v>
      </c>
      <c r="G50" s="177" t="s">
        <v>72</v>
      </c>
      <c r="H50" s="140">
        <v>26</v>
      </c>
      <c r="I50" s="140"/>
      <c r="J50" s="140">
        <f>2109990000/1000</f>
        <v>2109990</v>
      </c>
      <c r="K50" s="158">
        <v>10</v>
      </c>
      <c r="L50" s="143"/>
      <c r="M50" s="158">
        <f>179083574/1000</f>
        <v>179083.57399999999</v>
      </c>
      <c r="N50" s="145">
        <v>10</v>
      </c>
      <c r="O50" s="146" t="s">
        <v>59</v>
      </c>
      <c r="P50" s="159">
        <f>180000000/1000</f>
        <v>180000</v>
      </c>
      <c r="Q50" s="148">
        <f>45000000/1000</f>
        <v>45000</v>
      </c>
      <c r="R50" s="149">
        <f t="shared" si="0"/>
        <v>135000</v>
      </c>
      <c r="S50" s="150" t="s">
        <v>32</v>
      </c>
      <c r="T50" s="146" t="s">
        <v>59</v>
      </c>
      <c r="U50" s="150" t="s">
        <v>32</v>
      </c>
      <c r="V50" s="152" t="str">
        <f>'[2]data PPTK'!S43</f>
        <v>ARNADIN,S.Hut</v>
      </c>
      <c r="W50" s="153" t="str">
        <f>'[2]data PPTK'!T43</f>
        <v>PERLENGKAPAN</v>
      </c>
    </row>
    <row r="51" spans="1:39" s="97" customFormat="1" ht="0.75" customHeight="1" x14ac:dyDescent="0.25">
      <c r="A51" s="136"/>
      <c r="B51" s="137"/>
      <c r="C51" s="137"/>
      <c r="D51" s="137"/>
      <c r="E51" s="137"/>
      <c r="F51" s="155" t="str">
        <f>[1]Mei!$B$175</f>
        <v>Pengukuran / Sertifikasi Tanah Pemerintah Daerah</v>
      </c>
      <c r="G51" s="177" t="s">
        <v>73</v>
      </c>
      <c r="H51" s="140"/>
      <c r="I51" s="140"/>
      <c r="J51" s="140">
        <f>1020000000/1000</f>
        <v>1020000</v>
      </c>
      <c r="K51" s="158">
        <v>0</v>
      </c>
      <c r="L51" s="143"/>
      <c r="M51" s="158">
        <f>146230000/1000</f>
        <v>146230</v>
      </c>
      <c r="N51" s="145">
        <v>0</v>
      </c>
      <c r="O51" s="181" t="s">
        <v>74</v>
      </c>
      <c r="P51" s="159">
        <v>0</v>
      </c>
      <c r="Q51" s="148">
        <v>0</v>
      </c>
      <c r="R51" s="149">
        <f>P51-Q51</f>
        <v>0</v>
      </c>
      <c r="S51" s="156"/>
      <c r="T51" s="182"/>
      <c r="U51" s="151"/>
      <c r="V51" s="152"/>
      <c r="W51" s="157"/>
    </row>
    <row r="52" spans="1:39" s="97" customFormat="1" ht="15" hidden="1" customHeight="1" x14ac:dyDescent="0.25">
      <c r="A52" s="136"/>
      <c r="B52" s="137"/>
      <c r="C52" s="137"/>
      <c r="D52" s="137"/>
      <c r="E52" s="137"/>
      <c r="F52" s="155" t="s">
        <v>75</v>
      </c>
      <c r="G52" s="177" t="s">
        <v>76</v>
      </c>
      <c r="H52" s="140"/>
      <c r="I52" s="140"/>
      <c r="J52" s="140"/>
      <c r="K52" s="158">
        <v>0</v>
      </c>
      <c r="L52" s="143"/>
      <c r="M52" s="158"/>
      <c r="N52" s="145">
        <v>4</v>
      </c>
      <c r="O52" s="146" t="s">
        <v>57</v>
      </c>
      <c r="P52" s="159">
        <f>650000000/1000</f>
        <v>650000</v>
      </c>
      <c r="Q52" s="148"/>
      <c r="R52" s="149">
        <f t="shared" si="0"/>
        <v>650000</v>
      </c>
      <c r="S52" s="156"/>
      <c r="T52" s="182"/>
      <c r="U52" s="151"/>
      <c r="V52" s="152"/>
      <c r="W52" s="157"/>
    </row>
    <row r="53" spans="1:39" s="173" customFormat="1" ht="13.2" customHeight="1" x14ac:dyDescent="0.2">
      <c r="A53" s="168" t="s">
        <v>52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70"/>
      <c r="W53" s="171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</row>
    <row r="54" spans="1:39" s="173" customFormat="1" ht="13.2" customHeight="1" x14ac:dyDescent="0.2">
      <c r="A54" s="168" t="s">
        <v>53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70"/>
      <c r="W54" s="171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</row>
    <row r="55" spans="1:39" s="97" customFormat="1" ht="15.6" customHeight="1" x14ac:dyDescent="0.25">
      <c r="A55" s="84"/>
      <c r="B55" s="85"/>
      <c r="C55" s="85"/>
      <c r="D55" s="85"/>
      <c r="E55" s="85"/>
      <c r="F55" s="174" t="s">
        <v>77</v>
      </c>
      <c r="G55" s="183" t="s">
        <v>78</v>
      </c>
      <c r="H55" s="126">
        <v>100</v>
      </c>
      <c r="I55" s="126"/>
      <c r="J55" s="126">
        <f>SUM(J56)</f>
        <v>861350.00199999998</v>
      </c>
      <c r="K55" s="126">
        <v>100</v>
      </c>
      <c r="L55" s="128"/>
      <c r="M55" s="126">
        <f>SUM(M56)</f>
        <v>102983.1</v>
      </c>
      <c r="N55" s="129">
        <v>100</v>
      </c>
      <c r="O55" s="130"/>
      <c r="P55" s="126">
        <f>SUM(P56)</f>
        <v>150000</v>
      </c>
      <c r="Q55" s="184">
        <f>SUM(Q56)</f>
        <v>206990</v>
      </c>
      <c r="R55" s="175">
        <f t="shared" si="0"/>
        <v>-56990</v>
      </c>
      <c r="S55" s="129"/>
      <c r="T55" s="132"/>
      <c r="U55" s="176">
        <f>SUM(U56)</f>
        <v>0</v>
      </c>
      <c r="V55" s="134"/>
      <c r="W55" s="135"/>
    </row>
    <row r="56" spans="1:39" s="97" customFormat="1" ht="15.6" customHeight="1" x14ac:dyDescent="0.25">
      <c r="A56" s="136"/>
      <c r="B56" s="137"/>
      <c r="C56" s="137"/>
      <c r="D56" s="137"/>
      <c r="E56" s="137"/>
      <c r="F56" s="155" t="str">
        <f>[1]Mei!$B$179</f>
        <v>Pengadaan Pakaian Dinas beserta Kelengkapannya</v>
      </c>
      <c r="G56" s="177" t="s">
        <v>79</v>
      </c>
      <c r="H56" s="140">
        <v>5</v>
      </c>
      <c r="I56" s="140"/>
      <c r="J56" s="140">
        <f>861350002/1000</f>
        <v>861350.00199999998</v>
      </c>
      <c r="K56" s="158">
        <v>2</v>
      </c>
      <c r="L56" s="146" t="s">
        <v>80</v>
      </c>
      <c r="M56" s="158">
        <f>102983100/1000</f>
        <v>102983.1</v>
      </c>
      <c r="N56" s="145">
        <v>1</v>
      </c>
      <c r="O56" s="146" t="s">
        <v>80</v>
      </c>
      <c r="P56" s="159">
        <f>150000000/1000</f>
        <v>150000</v>
      </c>
      <c r="Q56" s="148">
        <f>206990000/1000</f>
        <v>206990</v>
      </c>
      <c r="R56" s="149">
        <f t="shared" si="0"/>
        <v>-56990</v>
      </c>
      <c r="S56" s="150" t="s">
        <v>32</v>
      </c>
      <c r="T56" s="146" t="s">
        <v>80</v>
      </c>
      <c r="U56" s="150" t="s">
        <v>32</v>
      </c>
      <c r="V56" s="152" t="str">
        <f>'[2]data PPTK'!S46</f>
        <v>ACHMAD SA'DUDDIN, S.Akt</v>
      </c>
      <c r="W56" s="153" t="str">
        <f>'[2]data PPTK'!T46</f>
        <v>PERLENGKAPAN</v>
      </c>
    </row>
    <row r="57" spans="1:39" s="173" customFormat="1" ht="13.2" customHeight="1" x14ac:dyDescent="0.2">
      <c r="A57" s="168">
        <v>0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70"/>
      <c r="W57" s="171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</row>
    <row r="58" spans="1:39" s="173" customFormat="1" ht="13.2" customHeight="1" x14ac:dyDescent="0.2">
      <c r="A58" s="168" t="s">
        <v>53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70"/>
      <c r="W58" s="171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</row>
    <row r="59" spans="1:39" s="97" customFormat="1" ht="15.6" customHeight="1" x14ac:dyDescent="0.25">
      <c r="A59" s="84"/>
      <c r="B59" s="85"/>
      <c r="C59" s="85"/>
      <c r="D59" s="85"/>
      <c r="E59" s="85"/>
      <c r="F59" s="174" t="s">
        <v>81</v>
      </c>
      <c r="G59" s="183" t="s">
        <v>82</v>
      </c>
      <c r="H59" s="126">
        <v>100</v>
      </c>
      <c r="I59" s="126"/>
      <c r="J59" s="126">
        <f>J60</f>
        <v>182880</v>
      </c>
      <c r="K59" s="126">
        <v>100</v>
      </c>
      <c r="L59" s="128"/>
      <c r="M59" s="126">
        <f>M60</f>
        <v>27800</v>
      </c>
      <c r="N59" s="129"/>
      <c r="O59" s="130"/>
      <c r="P59" s="126">
        <f>P60</f>
        <v>30000</v>
      </c>
      <c r="Q59" s="185">
        <f>Q60</f>
        <v>30000</v>
      </c>
      <c r="R59" s="175">
        <f t="shared" si="0"/>
        <v>0</v>
      </c>
      <c r="S59" s="129"/>
      <c r="T59" s="132"/>
      <c r="U59" s="176" t="str">
        <f>U60</f>
        <v>...</v>
      </c>
      <c r="V59" s="134"/>
      <c r="W59" s="135"/>
    </row>
    <row r="60" spans="1:39" s="97" customFormat="1" ht="15.6" customHeight="1" x14ac:dyDescent="0.25">
      <c r="A60" s="136"/>
      <c r="B60" s="137"/>
      <c r="C60" s="137"/>
      <c r="D60" s="137"/>
      <c r="E60" s="137"/>
      <c r="F60" s="155" t="str">
        <f>[1]Mei!$B$184</f>
        <v>Pemulangan Pegawai yang Tewas dalam Melaksanakan Tugas</v>
      </c>
      <c r="G60" s="177" t="s">
        <v>83</v>
      </c>
      <c r="H60" s="186">
        <v>0.04</v>
      </c>
      <c r="I60" s="140"/>
      <c r="J60" s="140">
        <f>182880000/1000</f>
        <v>182880</v>
      </c>
      <c r="K60" s="158">
        <v>12</v>
      </c>
      <c r="L60" s="143" t="s">
        <v>31</v>
      </c>
      <c r="M60" s="158">
        <f>27800000/1000</f>
        <v>27800</v>
      </c>
      <c r="N60" s="145">
        <v>12</v>
      </c>
      <c r="O60" s="146" t="s">
        <v>31</v>
      </c>
      <c r="P60" s="159">
        <f>30000000/1000</f>
        <v>30000</v>
      </c>
      <c r="Q60" s="148">
        <f>30000000/1000</f>
        <v>30000</v>
      </c>
      <c r="R60" s="149">
        <f t="shared" si="0"/>
        <v>0</v>
      </c>
      <c r="S60" s="150" t="s">
        <v>32</v>
      </c>
      <c r="T60" s="146" t="s">
        <v>31</v>
      </c>
      <c r="U60" s="150" t="s">
        <v>32</v>
      </c>
      <c r="V60" s="152" t="str">
        <f>'[2]data PPTK'!S49</f>
        <v>ARITUA B.N,S.STP, M.Si</v>
      </c>
      <c r="W60" s="153" t="str">
        <f>'[2]data PPTK'!T49</f>
        <v>ORGANISASI</v>
      </c>
    </row>
    <row r="61" spans="1:39" s="173" customFormat="1" ht="13.2" customHeight="1" x14ac:dyDescent="0.2">
      <c r="A61" s="168" t="s">
        <v>52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70"/>
      <c r="W61" s="171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</row>
    <row r="62" spans="1:39" s="173" customFormat="1" ht="13.2" customHeight="1" x14ac:dyDescent="0.2">
      <c r="A62" s="168" t="s">
        <v>53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70"/>
      <c r="W62" s="171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</row>
    <row r="63" spans="1:39" s="193" customFormat="1" ht="15.6" customHeight="1" x14ac:dyDescent="0.25">
      <c r="A63" s="84"/>
      <c r="B63" s="187"/>
      <c r="C63" s="187"/>
      <c r="D63" s="187"/>
      <c r="E63" s="187"/>
      <c r="F63" s="174" t="s">
        <v>84</v>
      </c>
      <c r="G63" s="183" t="s">
        <v>85</v>
      </c>
      <c r="H63" s="126">
        <v>100</v>
      </c>
      <c r="I63" s="126"/>
      <c r="J63" s="126">
        <f>SUM(J64:J70)</f>
        <v>4205005.3830000004</v>
      </c>
      <c r="K63" s="126">
        <v>100</v>
      </c>
      <c r="L63" s="128"/>
      <c r="M63" s="126">
        <f>SUM(M64:M70)</f>
        <v>560048.75</v>
      </c>
      <c r="N63" s="129">
        <v>100</v>
      </c>
      <c r="O63" s="188"/>
      <c r="P63" s="126">
        <f>SUM(P64:P70)</f>
        <v>638695</v>
      </c>
      <c r="Q63" s="126">
        <f>SUM(Q64:Q71)</f>
        <v>825680.24</v>
      </c>
      <c r="R63" s="189">
        <f t="shared" si="0"/>
        <v>-186985.24</v>
      </c>
      <c r="S63" s="126"/>
      <c r="T63" s="190"/>
      <c r="U63" s="176">
        <f>SUM(U64:U70)</f>
        <v>0</v>
      </c>
      <c r="V63" s="191"/>
      <c r="W63" s="192"/>
    </row>
    <row r="64" spans="1:39" s="97" customFormat="1" ht="15.6" customHeight="1" x14ac:dyDescent="0.25">
      <c r="A64" s="136"/>
      <c r="B64" s="137"/>
      <c r="C64" s="137"/>
      <c r="D64" s="137"/>
      <c r="E64" s="137"/>
      <c r="F64" s="155" t="str">
        <f>[1]Mei!$B$188</f>
        <v>Pendidikan &amp; Pelatihan Formal</v>
      </c>
      <c r="G64" s="177" t="s">
        <v>86</v>
      </c>
      <c r="H64" s="140">
        <v>80</v>
      </c>
      <c r="I64" s="140"/>
      <c r="J64" s="140">
        <f>828844688/1000</f>
        <v>828844.68799999997</v>
      </c>
      <c r="K64" s="158">
        <v>15</v>
      </c>
      <c r="L64" s="146" t="s">
        <v>36</v>
      </c>
      <c r="M64" s="158">
        <f>126289600/1000</f>
        <v>126289.60000000001</v>
      </c>
      <c r="N64" s="145">
        <v>15</v>
      </c>
      <c r="O64" s="146" t="s">
        <v>36</v>
      </c>
      <c r="P64" s="159">
        <f>101000000/1000</f>
        <v>101000</v>
      </c>
      <c r="Q64" s="148">
        <f>200000000/1000</f>
        <v>200000</v>
      </c>
      <c r="R64" s="149">
        <f t="shared" si="0"/>
        <v>-99000</v>
      </c>
      <c r="S64" s="150" t="s">
        <v>32</v>
      </c>
      <c r="T64" s="146" t="s">
        <v>87</v>
      </c>
      <c r="U64" s="150" t="s">
        <v>32</v>
      </c>
      <c r="V64" s="152" t="str">
        <f>'[2]data PPTK'!S52</f>
        <v>SABANG PARULIAN,SP</v>
      </c>
      <c r="W64" s="153" t="str">
        <f>'[2]data PPTK'!T52</f>
        <v>ORGANISASI</v>
      </c>
    </row>
    <row r="65" spans="1:39" s="97" customFormat="1" ht="15.6" customHeight="1" x14ac:dyDescent="0.25">
      <c r="A65" s="136"/>
      <c r="B65" s="137"/>
      <c r="C65" s="137"/>
      <c r="D65" s="137"/>
      <c r="E65" s="137"/>
      <c r="F65" s="155" t="str">
        <f>[1]Mei!$B$193</f>
        <v>Raker Camat, Kepala Desa / Lurah &amp; Ketua BPD</v>
      </c>
      <c r="G65" s="177" t="s">
        <v>88</v>
      </c>
      <c r="H65" s="140">
        <v>5</v>
      </c>
      <c r="I65" s="140"/>
      <c r="J65" s="140">
        <f>1105126250/1000</f>
        <v>1105126.25</v>
      </c>
      <c r="K65" s="158">
        <v>1</v>
      </c>
      <c r="L65" s="146" t="s">
        <v>36</v>
      </c>
      <c r="M65" s="158">
        <f>138200000/1000</f>
        <v>138200</v>
      </c>
      <c r="N65" s="145">
        <v>1</v>
      </c>
      <c r="O65" s="146" t="s">
        <v>36</v>
      </c>
      <c r="P65" s="159">
        <f>147125000/1000</f>
        <v>147125</v>
      </c>
      <c r="Q65" s="148">
        <f>166757240/1000</f>
        <v>166757.24</v>
      </c>
      <c r="R65" s="149">
        <f t="shared" si="0"/>
        <v>-19632.239999999991</v>
      </c>
      <c r="S65" s="150" t="s">
        <v>32</v>
      </c>
      <c r="T65" s="146" t="s">
        <v>36</v>
      </c>
      <c r="U65" s="150" t="s">
        <v>32</v>
      </c>
      <c r="V65" s="152" t="str">
        <f>'[2]data PPTK'!S53</f>
        <v>SRI WAHYUNI,S.Ipem</v>
      </c>
      <c r="W65" s="153" t="str">
        <f>'[2]data PPTK'!T53</f>
        <v>PEMERINTAHAN</v>
      </c>
    </row>
    <row r="66" spans="1:39" s="97" customFormat="1" ht="15.6" customHeight="1" x14ac:dyDescent="0.25">
      <c r="A66" s="136"/>
      <c r="B66" s="137"/>
      <c r="C66" s="137"/>
      <c r="D66" s="137"/>
      <c r="E66" s="137"/>
      <c r="F66" s="155" t="str">
        <f>[1]Mei!$B$210</f>
        <v>Pelatihan Administrasi Desa</v>
      </c>
      <c r="G66" s="194" t="s">
        <v>89</v>
      </c>
      <c r="H66" s="140">
        <v>830</v>
      </c>
      <c r="I66" s="140"/>
      <c r="J66" s="140">
        <f>599530991/1000</f>
        <v>599530.99100000004</v>
      </c>
      <c r="K66" s="158">
        <v>1</v>
      </c>
      <c r="L66" s="146" t="s">
        <v>36</v>
      </c>
      <c r="M66" s="158">
        <f>88865000/1000</f>
        <v>88865</v>
      </c>
      <c r="N66" s="145">
        <f>1</f>
        <v>1</v>
      </c>
      <c r="O66" s="146" t="s">
        <v>36</v>
      </c>
      <c r="P66" s="159">
        <f>94570000/1000</f>
        <v>94570</v>
      </c>
      <c r="Q66" s="148">
        <f>117934250/1000</f>
        <v>117934.25</v>
      </c>
      <c r="R66" s="149">
        <f t="shared" si="0"/>
        <v>-23364.25</v>
      </c>
      <c r="S66" s="150" t="s">
        <v>32</v>
      </c>
      <c r="T66" s="146" t="s">
        <v>87</v>
      </c>
      <c r="U66" s="150" t="s">
        <v>32</v>
      </c>
      <c r="V66" s="152" t="str">
        <f>'[2]data PPTK'!S54</f>
        <v>SRI WAHYUNI,S.Ipem</v>
      </c>
      <c r="W66" s="153" t="str">
        <f>'[2]data PPTK'!T54</f>
        <v>PEMERINTAHAN</v>
      </c>
    </row>
    <row r="67" spans="1:39" s="97" customFormat="1" ht="15.6" customHeight="1" x14ac:dyDescent="0.25">
      <c r="A67" s="136"/>
      <c r="B67" s="137"/>
      <c r="C67" s="137"/>
      <c r="D67" s="137"/>
      <c r="E67" s="137"/>
      <c r="F67" s="155" t="str">
        <f>[1]Mei!$B$221</f>
        <v xml:space="preserve">Pelaksanaan Tugas &amp; Fungsi Peneliti &amp; Pengawas Pemilihan Kades </v>
      </c>
      <c r="G67" s="177" t="s">
        <v>89</v>
      </c>
      <c r="H67" s="140">
        <v>5</v>
      </c>
      <c r="I67" s="140"/>
      <c r="J67" s="140">
        <f>303909719/1000</f>
        <v>303909.71899999998</v>
      </c>
      <c r="K67" s="158">
        <v>0</v>
      </c>
      <c r="L67" s="146" t="s">
        <v>90</v>
      </c>
      <c r="M67" s="158">
        <f>0/1000</f>
        <v>0</v>
      </c>
      <c r="N67" s="145">
        <v>1</v>
      </c>
      <c r="O67" s="146" t="s">
        <v>36</v>
      </c>
      <c r="P67" s="159">
        <f>55000000/1000</f>
        <v>55000</v>
      </c>
      <c r="Q67" s="148">
        <f>55000000/1000</f>
        <v>55000</v>
      </c>
      <c r="R67" s="149">
        <f t="shared" si="0"/>
        <v>0</v>
      </c>
      <c r="S67" s="150" t="s">
        <v>32</v>
      </c>
      <c r="T67" s="146" t="s">
        <v>36</v>
      </c>
      <c r="U67" s="150" t="s">
        <v>32</v>
      </c>
      <c r="V67" s="152" t="str">
        <f>'[2]data PPTK'!S55</f>
        <v>PAULUS SINGKAP,S.Sos</v>
      </c>
      <c r="W67" s="153" t="str">
        <f>'[2]data PPTK'!T55</f>
        <v>PEMERINTAHAN</v>
      </c>
    </row>
    <row r="68" spans="1:39" s="97" customFormat="1" ht="15.6" customHeight="1" x14ac:dyDescent="0.25">
      <c r="A68" s="136"/>
      <c r="B68" s="137"/>
      <c r="C68" s="137"/>
      <c r="D68" s="137"/>
      <c r="E68" s="137"/>
      <c r="F68" s="155" t="str">
        <f>[1]Mei!$B$226</f>
        <v>Tim Fasilitasi ADD</v>
      </c>
      <c r="G68" s="177" t="s">
        <v>91</v>
      </c>
      <c r="H68" s="140">
        <v>5</v>
      </c>
      <c r="I68" s="140"/>
      <c r="J68" s="140">
        <f>254179038/1000</f>
        <v>254179.038</v>
      </c>
      <c r="K68" s="158">
        <v>1</v>
      </c>
      <c r="L68" s="146" t="s">
        <v>92</v>
      </c>
      <c r="M68" s="158">
        <f>45970000/1000</f>
        <v>45970</v>
      </c>
      <c r="N68" s="145">
        <v>1</v>
      </c>
      <c r="O68" s="146" t="s">
        <v>36</v>
      </c>
      <c r="P68" s="159">
        <f>46000000/1000</f>
        <v>46000</v>
      </c>
      <c r="Q68" s="148">
        <f>46000000/1000</f>
        <v>46000</v>
      </c>
      <c r="R68" s="149">
        <f t="shared" si="0"/>
        <v>0</v>
      </c>
      <c r="S68" s="150" t="s">
        <v>32</v>
      </c>
      <c r="T68" s="146" t="s">
        <v>36</v>
      </c>
      <c r="U68" s="150" t="s">
        <v>32</v>
      </c>
      <c r="V68" s="152" t="str">
        <f>'[2]data PPTK'!S56</f>
        <v>PUJI RAHMAT PRATAMA,S.IP</v>
      </c>
      <c r="W68" s="153" t="str">
        <f>'[2]data PPTK'!T56</f>
        <v>PEMERINTAHAN</v>
      </c>
    </row>
    <row r="69" spans="1:39" s="97" customFormat="1" ht="15.6" customHeight="1" x14ac:dyDescent="0.25">
      <c r="A69" s="136"/>
      <c r="B69" s="137"/>
      <c r="C69" s="137"/>
      <c r="D69" s="137"/>
      <c r="E69" s="137"/>
      <c r="F69" s="155" t="str">
        <f>[1]Mei!$B$230</f>
        <v>Pelatihan dan Sosialisasi LPSE</v>
      </c>
      <c r="G69" s="177" t="s">
        <v>93</v>
      </c>
      <c r="H69" s="140">
        <v>500</v>
      </c>
      <c r="I69" s="140"/>
      <c r="J69" s="140">
        <f>552563125/1000</f>
        <v>552563.125</v>
      </c>
      <c r="K69" s="158">
        <v>1</v>
      </c>
      <c r="L69" s="146" t="s">
        <v>36</v>
      </c>
      <c r="M69" s="158">
        <f>67460900/1000</f>
        <v>67460.899999999994</v>
      </c>
      <c r="N69" s="145">
        <v>1</v>
      </c>
      <c r="O69" s="146" t="s">
        <v>36</v>
      </c>
      <c r="P69" s="159">
        <f>100000000/1000</f>
        <v>100000</v>
      </c>
      <c r="Q69" s="148">
        <f>100000000/1000</f>
        <v>100000</v>
      </c>
      <c r="R69" s="149">
        <f t="shared" si="0"/>
        <v>0</v>
      </c>
      <c r="S69" s="150" t="s">
        <v>32</v>
      </c>
      <c r="T69" s="146" t="s">
        <v>87</v>
      </c>
      <c r="U69" s="150" t="s">
        <v>32</v>
      </c>
      <c r="V69" s="152" t="str">
        <f>'[2]data PPTK'!S57</f>
        <v>IKA WIJAYANTI,SE</v>
      </c>
      <c r="W69" s="153" t="str">
        <f>'[2]data PPTK'!T57</f>
        <v>UMUM</v>
      </c>
    </row>
    <row r="70" spans="1:39" s="97" customFormat="1" ht="15.6" customHeight="1" x14ac:dyDescent="0.25">
      <c r="A70" s="136"/>
      <c r="B70" s="137"/>
      <c r="C70" s="137"/>
      <c r="D70" s="137"/>
      <c r="E70" s="137"/>
      <c r="F70" s="155" t="str">
        <f>[1]Mei!$B$238</f>
        <v>Pelatihan Peningkatan Kemampuan Aparatur Desa</v>
      </c>
      <c r="G70" s="177" t="s">
        <v>89</v>
      </c>
      <c r="H70" s="140">
        <v>830</v>
      </c>
      <c r="I70" s="140"/>
      <c r="J70" s="140">
        <f>560851572/1000</f>
        <v>560851.57200000004</v>
      </c>
      <c r="K70" s="158">
        <v>1</v>
      </c>
      <c r="L70" s="146" t="s">
        <v>36</v>
      </c>
      <c r="M70" s="158">
        <f>93263250/1000</f>
        <v>93263.25</v>
      </c>
      <c r="N70" s="145">
        <v>1</v>
      </c>
      <c r="O70" s="146" t="s">
        <v>36</v>
      </c>
      <c r="P70" s="159">
        <f>95000000/1000</f>
        <v>95000</v>
      </c>
      <c r="Q70" s="148">
        <f>123626250/1000</f>
        <v>123626.25</v>
      </c>
      <c r="R70" s="149">
        <f t="shared" si="0"/>
        <v>-28626.25</v>
      </c>
      <c r="S70" s="150" t="s">
        <v>32</v>
      </c>
      <c r="T70" s="146" t="s">
        <v>87</v>
      </c>
      <c r="U70" s="150" t="s">
        <v>32</v>
      </c>
      <c r="V70" s="152" t="str">
        <f>'[2]data PPTK'!S58</f>
        <v>HARSONO, S.IP</v>
      </c>
      <c r="W70" s="153" t="str">
        <f>'[2]data PPTK'!T58</f>
        <v>PEMERINTAHAN</v>
      </c>
    </row>
    <row r="71" spans="1:39" s="97" customFormat="1" ht="15.6" customHeight="1" x14ac:dyDescent="0.25">
      <c r="A71" s="136"/>
      <c r="B71" s="137"/>
      <c r="C71" s="137"/>
      <c r="D71" s="137"/>
      <c r="E71" s="137"/>
      <c r="F71" s="155" t="s">
        <v>94</v>
      </c>
      <c r="G71" s="177"/>
      <c r="H71" s="140"/>
      <c r="I71" s="140"/>
      <c r="J71" s="140"/>
      <c r="K71" s="158"/>
      <c r="L71" s="146"/>
      <c r="M71" s="158">
        <v>0</v>
      </c>
      <c r="N71" s="145"/>
      <c r="O71" s="146"/>
      <c r="P71" s="159"/>
      <c r="Q71" s="148">
        <f>16362500/1000</f>
        <v>16362.5</v>
      </c>
      <c r="R71" s="149">
        <f t="shared" si="0"/>
        <v>-16362.5</v>
      </c>
      <c r="S71" s="150" t="s">
        <v>32</v>
      </c>
      <c r="T71" s="146"/>
      <c r="U71" s="150" t="s">
        <v>32</v>
      </c>
      <c r="V71" s="152" t="str">
        <f>'[2]data PPTK'!S59</f>
        <v>SUSANTO, S.STP</v>
      </c>
      <c r="W71" s="153" t="str">
        <f>'[2]data PPTK'!T59</f>
        <v>PEMERINTAHAN</v>
      </c>
    </row>
    <row r="72" spans="1:39" s="173" customFormat="1" ht="13.2" customHeight="1" x14ac:dyDescent="0.2">
      <c r="A72" s="168" t="s">
        <v>52</v>
      </c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70"/>
      <c r="W72" s="171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</row>
    <row r="73" spans="1:39" s="173" customFormat="1" ht="13.2" customHeight="1" x14ac:dyDescent="0.2">
      <c r="A73" s="168" t="s">
        <v>53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70"/>
      <c r="W73" s="171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</row>
    <row r="74" spans="1:39" s="193" customFormat="1" ht="15.6" customHeight="1" x14ac:dyDescent="0.25">
      <c r="A74" s="84"/>
      <c r="B74" s="187"/>
      <c r="C74" s="187"/>
      <c r="D74" s="187"/>
      <c r="E74" s="187"/>
      <c r="F74" s="174" t="s">
        <v>95</v>
      </c>
      <c r="G74" s="183" t="s">
        <v>96</v>
      </c>
      <c r="H74" s="126">
        <v>100</v>
      </c>
      <c r="I74" s="126"/>
      <c r="J74" s="126">
        <f>J75</f>
        <v>372500</v>
      </c>
      <c r="K74" s="126">
        <v>0</v>
      </c>
      <c r="L74" s="128"/>
      <c r="M74" s="126">
        <f>M75</f>
        <v>52706.400000000001</v>
      </c>
      <c r="N74" s="129">
        <v>100</v>
      </c>
      <c r="O74" s="188"/>
      <c r="P74" s="126">
        <f>P75</f>
        <v>60000</v>
      </c>
      <c r="Q74" s="126">
        <f>Q75</f>
        <v>68500</v>
      </c>
      <c r="R74" s="189">
        <f t="shared" si="0"/>
        <v>-8500</v>
      </c>
      <c r="S74" s="129"/>
      <c r="T74" s="190"/>
      <c r="U74" s="176" t="str">
        <f>U75</f>
        <v>...</v>
      </c>
      <c r="V74" s="191"/>
      <c r="W74" s="192"/>
    </row>
    <row r="75" spans="1:39" s="97" customFormat="1" ht="15.6" customHeight="1" x14ac:dyDescent="0.25">
      <c r="A75" s="136"/>
      <c r="B75" s="137"/>
      <c r="C75" s="137"/>
      <c r="D75" s="137"/>
      <c r="E75" s="137"/>
      <c r="F75" s="155" t="str">
        <f>[1]Mei!$B$253</f>
        <v xml:space="preserve">Penyelenggaraan Pameran Tingkat Kabupaten </v>
      </c>
      <c r="G75" s="177" t="s">
        <v>97</v>
      </c>
      <c r="H75" s="140"/>
      <c r="I75" s="140"/>
      <c r="J75" s="140">
        <f>372500000/1000</f>
        <v>372500</v>
      </c>
      <c r="K75" s="158">
        <v>1</v>
      </c>
      <c r="L75" s="143" t="s">
        <v>98</v>
      </c>
      <c r="M75" s="158">
        <f>52706400/1000</f>
        <v>52706.400000000001</v>
      </c>
      <c r="N75" s="145">
        <v>1</v>
      </c>
      <c r="O75" s="146" t="s">
        <v>98</v>
      </c>
      <c r="P75" s="159">
        <f>60000000/1000</f>
        <v>60000</v>
      </c>
      <c r="Q75" s="148">
        <f>68500000/1000</f>
        <v>68500</v>
      </c>
      <c r="R75" s="149">
        <f t="shared" si="0"/>
        <v>-8500</v>
      </c>
      <c r="S75" s="156"/>
      <c r="T75" s="146" t="s">
        <v>98</v>
      </c>
      <c r="U75" s="150" t="s">
        <v>32</v>
      </c>
      <c r="V75" s="152" t="str">
        <f>'[2]data PPTK'!S62</f>
        <v>PERA KRITHUNI Y, SP. M.Si</v>
      </c>
      <c r="W75" s="153" t="str">
        <f>'[2]data PPTK'!T62</f>
        <v>EKONOMI</v>
      </c>
    </row>
    <row r="76" spans="1:39" s="173" customFormat="1" ht="13.2" customHeight="1" x14ac:dyDescent="0.2">
      <c r="A76" s="168" t="s">
        <v>52</v>
      </c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70"/>
      <c r="W76" s="171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</row>
    <row r="77" spans="1:39" s="173" customFormat="1" ht="13.2" customHeight="1" x14ac:dyDescent="0.2">
      <c r="A77" s="168" t="s">
        <v>53</v>
      </c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70"/>
      <c r="W77" s="171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</row>
    <row r="78" spans="1:39" s="193" customFormat="1" ht="15.6" customHeight="1" x14ac:dyDescent="0.25">
      <c r="A78" s="84"/>
      <c r="B78" s="187"/>
      <c r="C78" s="187"/>
      <c r="D78" s="187"/>
      <c r="E78" s="187"/>
      <c r="F78" s="174" t="s">
        <v>99</v>
      </c>
      <c r="G78" s="183" t="s">
        <v>100</v>
      </c>
      <c r="H78" s="126">
        <v>100</v>
      </c>
      <c r="I78" s="126"/>
      <c r="J78" s="126">
        <f>SUM(J79:J84)</f>
        <v>9940637.2659999989</v>
      </c>
      <c r="K78" s="126">
        <v>100</v>
      </c>
      <c r="L78" s="128"/>
      <c r="M78" s="126">
        <f>SUM(M79:M84)</f>
        <v>1271553.0079999999</v>
      </c>
      <c r="N78" s="129">
        <v>100</v>
      </c>
      <c r="O78" s="188"/>
      <c r="P78" s="126">
        <f>SUM(P79:P84)</f>
        <v>1270350</v>
      </c>
      <c r="Q78" s="126">
        <f>SUM(Q79:Q84)</f>
        <v>1185000</v>
      </c>
      <c r="R78" s="189">
        <f t="shared" si="0"/>
        <v>85350</v>
      </c>
      <c r="S78" s="129"/>
      <c r="T78" s="190"/>
      <c r="U78" s="176">
        <f>SUM(U79:U84)</f>
        <v>0</v>
      </c>
      <c r="V78" s="191"/>
      <c r="W78" s="192"/>
    </row>
    <row r="79" spans="1:39" s="97" customFormat="1" ht="15.6" customHeight="1" x14ac:dyDescent="0.25">
      <c r="A79" s="136"/>
      <c r="B79" s="137"/>
      <c r="C79" s="137"/>
      <c r="D79" s="137"/>
      <c r="E79" s="137"/>
      <c r="F79" s="155" t="str">
        <f>[1]Mei!$B$263</f>
        <v>Dialog/Audensi dg Tokoh Masy dll</v>
      </c>
      <c r="G79" s="177" t="s">
        <v>101</v>
      </c>
      <c r="H79" s="140">
        <v>100</v>
      </c>
      <c r="I79" s="140"/>
      <c r="J79" s="140">
        <f>797824008/1000</f>
        <v>797824.00800000003</v>
      </c>
      <c r="K79" s="158">
        <v>12</v>
      </c>
      <c r="L79" s="146" t="s">
        <v>36</v>
      </c>
      <c r="M79" s="158">
        <f>79338000/1000</f>
        <v>79338</v>
      </c>
      <c r="N79" s="145">
        <v>20</v>
      </c>
      <c r="O79" s="146" t="s">
        <v>36</v>
      </c>
      <c r="P79" s="159">
        <f>100000000/1000</f>
        <v>100000</v>
      </c>
      <c r="Q79" s="148">
        <f>100000000/1000</f>
        <v>100000</v>
      </c>
      <c r="R79" s="149">
        <f t="shared" si="0"/>
        <v>0</v>
      </c>
      <c r="S79" s="150" t="s">
        <v>32</v>
      </c>
      <c r="T79" s="146" t="s">
        <v>36</v>
      </c>
      <c r="U79" s="150" t="s">
        <v>32</v>
      </c>
      <c r="V79" s="152" t="str">
        <f>'[2]data PPTK'!S65</f>
        <v>TRI SANTOSO,S.STP</v>
      </c>
      <c r="W79" s="153" t="str">
        <f>'[2]data PPTK'!T65</f>
        <v>UMUM</v>
      </c>
    </row>
    <row r="80" spans="1:39" s="97" customFormat="1" ht="15.6" customHeight="1" x14ac:dyDescent="0.25">
      <c r="A80" s="136"/>
      <c r="B80" s="137"/>
      <c r="C80" s="137"/>
      <c r="D80" s="137"/>
      <c r="E80" s="137"/>
      <c r="F80" s="155" t="str">
        <f>[1]Mei!$B$274</f>
        <v>Penerim. Kunker Pejabat Negara / Dept / Lembaga Non Dept / LN</v>
      </c>
      <c r="G80" s="177" t="s">
        <v>102</v>
      </c>
      <c r="H80" s="140">
        <v>125</v>
      </c>
      <c r="I80" s="140"/>
      <c r="J80" s="140">
        <f>1592370144/1000</f>
        <v>1592370.1440000001</v>
      </c>
      <c r="K80" s="158">
        <v>17</v>
      </c>
      <c r="L80" s="146" t="s">
        <v>36</v>
      </c>
      <c r="M80" s="158">
        <f>150745000/1000</f>
        <v>150745</v>
      </c>
      <c r="N80" s="145">
        <v>25</v>
      </c>
      <c r="O80" s="146" t="s">
        <v>36</v>
      </c>
      <c r="P80" s="195">
        <f>235000000/1000</f>
        <v>235000</v>
      </c>
      <c r="Q80" s="148">
        <f>235000000/1000</f>
        <v>235000</v>
      </c>
      <c r="R80" s="149">
        <f t="shared" si="0"/>
        <v>0</v>
      </c>
      <c r="S80" s="150" t="s">
        <v>32</v>
      </c>
      <c r="T80" s="146" t="s">
        <v>36</v>
      </c>
      <c r="U80" s="150" t="s">
        <v>32</v>
      </c>
      <c r="V80" s="152" t="str">
        <f>'[2]data PPTK'!S66</f>
        <v>TRI SANTOSO,S.STP</v>
      </c>
      <c r="W80" s="153" t="str">
        <f>'[2]data PPTK'!T66</f>
        <v>UMUM</v>
      </c>
    </row>
    <row r="81" spans="1:39" s="97" customFormat="1" ht="15.6" customHeight="1" x14ac:dyDescent="0.25">
      <c r="A81" s="136"/>
      <c r="B81" s="137"/>
      <c r="C81" s="137"/>
      <c r="D81" s="137"/>
      <c r="E81" s="137"/>
      <c r="F81" s="155" t="str">
        <f>[1]Mei!$B$283</f>
        <v>Rapat Koordinasi Unsur MUSPIDA</v>
      </c>
      <c r="G81" s="177" t="s">
        <v>103</v>
      </c>
      <c r="H81" s="140">
        <v>10</v>
      </c>
      <c r="I81" s="140"/>
      <c r="J81" s="140">
        <f>879467998/1000</f>
        <v>879467.99800000002</v>
      </c>
      <c r="K81" s="158">
        <v>1</v>
      </c>
      <c r="L81" s="146" t="s">
        <v>36</v>
      </c>
      <c r="M81" s="158">
        <f>47330000/1000</f>
        <v>47330</v>
      </c>
      <c r="N81" s="145">
        <v>2</v>
      </c>
      <c r="O81" s="146" t="s">
        <v>36</v>
      </c>
      <c r="P81" s="159">
        <f>165350000/1000</f>
        <v>165350</v>
      </c>
      <c r="Q81" s="148">
        <f>115000000/1000</f>
        <v>115000</v>
      </c>
      <c r="R81" s="149">
        <f t="shared" si="0"/>
        <v>50350</v>
      </c>
      <c r="S81" s="150" t="s">
        <v>32</v>
      </c>
      <c r="T81" s="146" t="s">
        <v>36</v>
      </c>
      <c r="U81" s="150" t="s">
        <v>32</v>
      </c>
      <c r="V81" s="152" t="str">
        <f>'[2]data PPTK'!S67</f>
        <v>TRI SANTOSO,S.STP</v>
      </c>
      <c r="W81" s="153" t="str">
        <f>'[2]data PPTK'!T67</f>
        <v>UMUM</v>
      </c>
    </row>
    <row r="82" spans="1:39" s="97" customFormat="1" ht="15.6" customHeight="1" x14ac:dyDescent="0.25">
      <c r="A82" s="136"/>
      <c r="B82" s="137"/>
      <c r="C82" s="137"/>
      <c r="D82" s="137"/>
      <c r="E82" s="137"/>
      <c r="F82" s="155" t="str">
        <f>[1]Mei!$B$294</f>
        <v>Rakor Pejabat Pemerintah Daerah</v>
      </c>
      <c r="G82" s="177" t="s">
        <v>104</v>
      </c>
      <c r="H82" s="140">
        <v>5</v>
      </c>
      <c r="I82" s="140"/>
      <c r="J82" s="140">
        <f>267548604/1000</f>
        <v>267548.60399999999</v>
      </c>
      <c r="K82" s="158">
        <v>3</v>
      </c>
      <c r="L82" s="146" t="s">
        <v>36</v>
      </c>
      <c r="M82" s="158">
        <f>45156000/1000</f>
        <v>45156</v>
      </c>
      <c r="N82" s="145">
        <v>1</v>
      </c>
      <c r="O82" s="146" t="s">
        <v>36</v>
      </c>
      <c r="P82" s="159">
        <f>50000000/1000</f>
        <v>50000</v>
      </c>
      <c r="Q82" s="148">
        <f>50000000/1000</f>
        <v>50000</v>
      </c>
      <c r="R82" s="149">
        <f t="shared" si="0"/>
        <v>0</v>
      </c>
      <c r="S82" s="150" t="s">
        <v>32</v>
      </c>
      <c r="T82" s="146" t="s">
        <v>36</v>
      </c>
      <c r="U82" s="150" t="s">
        <v>32</v>
      </c>
      <c r="V82" s="152" t="str">
        <f>'[2]data PPTK'!S68</f>
        <v>TRI SANTOSO,S.STP</v>
      </c>
      <c r="W82" s="153" t="str">
        <f>'[2]data PPTK'!T68</f>
        <v>UMUM</v>
      </c>
    </row>
    <row r="83" spans="1:39" s="97" customFormat="1" ht="15.6" customHeight="1" x14ac:dyDescent="0.25">
      <c r="A83" s="136"/>
      <c r="B83" s="137"/>
      <c r="C83" s="137"/>
      <c r="D83" s="137"/>
      <c r="E83" s="137"/>
      <c r="F83" s="155" t="str">
        <f>[1]Mei!$B$302</f>
        <v>Kunker / Inspeksi KDH / WKDH</v>
      </c>
      <c r="G83" s="177" t="s">
        <v>105</v>
      </c>
      <c r="H83" s="140">
        <v>250</v>
      </c>
      <c r="I83" s="140"/>
      <c r="J83" s="140">
        <f>3201713256/1000</f>
        <v>3201713.2560000001</v>
      </c>
      <c r="K83" s="158">
        <v>51</v>
      </c>
      <c r="L83" s="146" t="s">
        <v>36</v>
      </c>
      <c r="M83" s="158">
        <f>329100000/1000</f>
        <v>329100</v>
      </c>
      <c r="N83" s="145">
        <v>50</v>
      </c>
      <c r="O83" s="146" t="s">
        <v>36</v>
      </c>
      <c r="P83" s="159">
        <f>250000000/1000</f>
        <v>250000</v>
      </c>
      <c r="Q83" s="148">
        <f>215000000/1000</f>
        <v>215000</v>
      </c>
      <c r="R83" s="149">
        <f t="shared" si="0"/>
        <v>35000</v>
      </c>
      <c r="S83" s="150" t="s">
        <v>32</v>
      </c>
      <c r="T83" s="146" t="s">
        <v>36</v>
      </c>
      <c r="U83" s="150" t="s">
        <v>32</v>
      </c>
      <c r="V83" s="152" t="str">
        <f>'[2]data PPTK'!S69</f>
        <v>TRI SANTOSO,S.STP</v>
      </c>
      <c r="W83" s="153" t="str">
        <f>'[2]data PPTK'!T69</f>
        <v>UMUM</v>
      </c>
    </row>
    <row r="84" spans="1:39" s="97" customFormat="1" ht="15.6" customHeight="1" x14ac:dyDescent="0.25">
      <c r="A84" s="136"/>
      <c r="B84" s="137"/>
      <c r="C84" s="137"/>
      <c r="D84" s="137"/>
      <c r="E84" s="137"/>
      <c r="F84" s="155" t="str">
        <f>[1]Mei!$B$310</f>
        <v>Koord. dengan Pemerintah Pusat &amp; Pemda Lainnya</v>
      </c>
      <c r="G84" s="177" t="s">
        <v>106</v>
      </c>
      <c r="H84" s="140">
        <v>250</v>
      </c>
      <c r="I84" s="140"/>
      <c r="J84" s="140">
        <f>3201713256/1000</f>
        <v>3201713.2560000001</v>
      </c>
      <c r="K84" s="158">
        <v>50</v>
      </c>
      <c r="L84" s="146" t="s">
        <v>36</v>
      </c>
      <c r="M84" s="158">
        <f>619884008/1000</f>
        <v>619884.00800000003</v>
      </c>
      <c r="N84" s="145">
        <v>50</v>
      </c>
      <c r="O84" s="146" t="s">
        <v>36</v>
      </c>
      <c r="P84" s="159">
        <f>470000000/1000</f>
        <v>470000</v>
      </c>
      <c r="Q84" s="148">
        <f>470000000/1000</f>
        <v>470000</v>
      </c>
      <c r="R84" s="149">
        <f t="shared" si="0"/>
        <v>0</v>
      </c>
      <c r="S84" s="150" t="s">
        <v>32</v>
      </c>
      <c r="T84" s="146" t="s">
        <v>36</v>
      </c>
      <c r="U84" s="150" t="s">
        <v>32</v>
      </c>
      <c r="V84" s="152" t="str">
        <f>'[2]data PPTK'!S70</f>
        <v>TRI SANTOSO,S.STP</v>
      </c>
      <c r="W84" s="153" t="str">
        <f>'[2]data PPTK'!T70</f>
        <v>UMUM</v>
      </c>
    </row>
    <row r="85" spans="1:39" s="173" customFormat="1" ht="13.2" customHeight="1" x14ac:dyDescent="0.2">
      <c r="A85" s="168" t="s">
        <v>52</v>
      </c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70"/>
      <c r="W85" s="171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</row>
    <row r="86" spans="1:39" s="173" customFormat="1" ht="13.2" customHeight="1" x14ac:dyDescent="0.2">
      <c r="A86" s="168" t="s">
        <v>53</v>
      </c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70">
        <v>1</v>
      </c>
      <c r="W86" s="171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</row>
    <row r="87" spans="1:39" s="193" customFormat="1" ht="15.6" customHeight="1" x14ac:dyDescent="0.25">
      <c r="A87" s="84"/>
      <c r="B87" s="187"/>
      <c r="C87" s="187"/>
      <c r="D87" s="187"/>
      <c r="E87" s="187"/>
      <c r="F87" s="174" t="s">
        <v>107</v>
      </c>
      <c r="G87" s="183" t="s">
        <v>108</v>
      </c>
      <c r="H87" s="126">
        <v>100</v>
      </c>
      <c r="I87" s="126"/>
      <c r="J87" s="126">
        <f>SUM(J88:J91)</f>
        <v>2238448.798</v>
      </c>
      <c r="K87" s="126">
        <v>100</v>
      </c>
      <c r="L87" s="128"/>
      <c r="M87" s="126">
        <f>SUM(M88:M91)</f>
        <v>563373.81799999997</v>
      </c>
      <c r="N87" s="129">
        <v>100</v>
      </c>
      <c r="O87" s="188"/>
      <c r="P87" s="126">
        <f>SUM(P88:P91)</f>
        <v>554767.06599999999</v>
      </c>
      <c r="Q87" s="126">
        <f>SUM(Q88:Q91)</f>
        <v>685830.87</v>
      </c>
      <c r="R87" s="189">
        <f t="shared" si="0"/>
        <v>-131063.804</v>
      </c>
      <c r="S87" s="129"/>
      <c r="T87" s="190"/>
      <c r="U87" s="176">
        <f>SUM(U88:U91)</f>
        <v>0</v>
      </c>
      <c r="V87" s="191"/>
      <c r="W87" s="192"/>
    </row>
    <row r="88" spans="1:39" s="97" customFormat="1" ht="15.6" customHeight="1" x14ac:dyDescent="0.25">
      <c r="A88" s="136"/>
      <c r="B88" s="137"/>
      <c r="C88" s="137"/>
      <c r="D88" s="137"/>
      <c r="E88" s="137"/>
      <c r="F88" s="155" t="str">
        <f>[1]Mei!$B$315</f>
        <v>Penatausahaan Keuangan di lingkungan Setda</v>
      </c>
      <c r="G88" s="177" t="s">
        <v>109</v>
      </c>
      <c r="H88" s="140">
        <v>5</v>
      </c>
      <c r="I88" s="140"/>
      <c r="J88" s="140">
        <f>907051031/1000</f>
        <v>907051.03099999996</v>
      </c>
      <c r="K88" s="158">
        <v>1</v>
      </c>
      <c r="L88" s="146" t="s">
        <v>110</v>
      </c>
      <c r="M88" s="158">
        <f>264088318/1000</f>
        <v>264088.31800000003</v>
      </c>
      <c r="N88" s="145">
        <v>1</v>
      </c>
      <c r="O88" s="146" t="s">
        <v>110</v>
      </c>
      <c r="P88" s="163">
        <f>180000000/1000</f>
        <v>180000</v>
      </c>
      <c r="Q88" s="148">
        <f>299100000/1000</f>
        <v>299100</v>
      </c>
      <c r="R88" s="149">
        <f t="shared" si="0"/>
        <v>-119100</v>
      </c>
      <c r="S88" s="150" t="s">
        <v>32</v>
      </c>
      <c r="T88" s="146" t="s">
        <v>110</v>
      </c>
      <c r="U88" s="150" t="s">
        <v>32</v>
      </c>
      <c r="V88" s="152" t="str">
        <f>'[2]data PPTK'!S73</f>
        <v>RUSMIATI,SE</v>
      </c>
      <c r="W88" s="153" t="str">
        <f>'[2]data PPTK'!T73</f>
        <v>KEUANGAN</v>
      </c>
    </row>
    <row r="89" spans="1:39" s="97" customFormat="1" ht="15.6" customHeight="1" x14ac:dyDescent="0.25">
      <c r="A89" s="136"/>
      <c r="B89" s="137"/>
      <c r="C89" s="137"/>
      <c r="D89" s="137"/>
      <c r="E89" s="137"/>
      <c r="F89" s="155" t="str">
        <f>[1]Mei!$B$324</f>
        <v>Manajemen Pengelolaan Barang Milik Daerah (Setda)</v>
      </c>
      <c r="G89" s="177" t="s">
        <v>111</v>
      </c>
      <c r="H89" s="140">
        <v>5</v>
      </c>
      <c r="I89" s="140"/>
      <c r="J89" s="140">
        <f>796598426/1000</f>
        <v>796598.42599999998</v>
      </c>
      <c r="K89" s="158">
        <v>1</v>
      </c>
      <c r="L89" s="146" t="s">
        <v>110</v>
      </c>
      <c r="M89" s="158">
        <f>78342900/1000</f>
        <v>78342.899999999994</v>
      </c>
      <c r="N89" s="145">
        <v>1</v>
      </c>
      <c r="O89" s="146" t="s">
        <v>110</v>
      </c>
      <c r="P89" s="163">
        <f>149750000/1000</f>
        <v>149750</v>
      </c>
      <c r="Q89" s="148">
        <f>149750000/1000</f>
        <v>149750</v>
      </c>
      <c r="R89" s="149">
        <f t="shared" si="0"/>
        <v>0</v>
      </c>
      <c r="S89" s="150" t="s">
        <v>32</v>
      </c>
      <c r="T89" s="146" t="s">
        <v>110</v>
      </c>
      <c r="U89" s="150" t="s">
        <v>32</v>
      </c>
      <c r="V89" s="152" t="str">
        <f>'[2]data PPTK'!S74</f>
        <v>ACHMAD SA'DUDDIN, S.Akt</v>
      </c>
      <c r="W89" s="153" t="str">
        <f>'[2]data PPTK'!T74</f>
        <v>PERLENGKAPAN</v>
      </c>
    </row>
    <row r="90" spans="1:39" s="97" customFormat="1" ht="15.6" customHeight="1" x14ac:dyDescent="0.25">
      <c r="A90" s="136"/>
      <c r="B90" s="137"/>
      <c r="C90" s="137"/>
      <c r="D90" s="137"/>
      <c r="E90" s="137"/>
      <c r="F90" s="155" t="str">
        <f>[1]Mei!$B$333</f>
        <v>Penyusunan Anggaran di Lingkungan Setda</v>
      </c>
      <c r="G90" s="177" t="s">
        <v>112</v>
      </c>
      <c r="H90" s="140">
        <v>5</v>
      </c>
      <c r="I90" s="140"/>
      <c r="J90" s="140">
        <f>534799341/1000</f>
        <v>534799.34100000001</v>
      </c>
      <c r="K90" s="158">
        <v>1</v>
      </c>
      <c r="L90" s="146" t="s">
        <v>110</v>
      </c>
      <c r="M90" s="158">
        <f>113217600/1000</f>
        <v>113217.60000000001</v>
      </c>
      <c r="N90" s="145">
        <v>1</v>
      </c>
      <c r="O90" s="146" t="s">
        <v>110</v>
      </c>
      <c r="P90" s="163">
        <f>101317066/1000</f>
        <v>101317.06600000001</v>
      </c>
      <c r="Q90" s="148">
        <f>113280870/1000</f>
        <v>113280.87</v>
      </c>
      <c r="R90" s="149">
        <f t="shared" si="0"/>
        <v>-11963.803999999989</v>
      </c>
      <c r="S90" s="150" t="s">
        <v>32</v>
      </c>
      <c r="T90" s="146" t="s">
        <v>110</v>
      </c>
      <c r="U90" s="150" t="s">
        <v>32</v>
      </c>
      <c r="V90" s="152" t="str">
        <f>'[2]data PPTK'!S75</f>
        <v>SUSILAWATI,SE</v>
      </c>
      <c r="W90" s="153" t="str">
        <f>'[2]data PPTK'!T75</f>
        <v>KEUANGAN</v>
      </c>
    </row>
    <row r="91" spans="1:39" s="97" customFormat="1" ht="15.6" customHeight="1" x14ac:dyDescent="0.25">
      <c r="A91" s="136"/>
      <c r="B91" s="137"/>
      <c r="C91" s="137"/>
      <c r="D91" s="137"/>
      <c r="E91" s="137"/>
      <c r="F91" s="155" t="str">
        <f>[1]Mei!$B$340</f>
        <v>Verifikasi Pengad. Barang &amp; Jasa Pemkab Lamandau</v>
      </c>
      <c r="G91" s="177" t="s">
        <v>113</v>
      </c>
      <c r="H91" s="140">
        <v>0</v>
      </c>
      <c r="I91" s="140"/>
      <c r="J91" s="140">
        <v>0</v>
      </c>
      <c r="K91" s="158">
        <v>1</v>
      </c>
      <c r="L91" s="146" t="s">
        <v>110</v>
      </c>
      <c r="M91" s="158">
        <f>107725000/1000</f>
        <v>107725</v>
      </c>
      <c r="N91" s="145">
        <v>1</v>
      </c>
      <c r="O91" s="146" t="s">
        <v>110</v>
      </c>
      <c r="P91" s="159">
        <f>123700000/1000</f>
        <v>123700</v>
      </c>
      <c r="Q91" s="148">
        <f>123700000/1000</f>
        <v>123700</v>
      </c>
      <c r="R91" s="149">
        <f t="shared" si="0"/>
        <v>0</v>
      </c>
      <c r="S91" s="150" t="s">
        <v>32</v>
      </c>
      <c r="T91" s="146" t="s">
        <v>110</v>
      </c>
      <c r="U91" s="150" t="s">
        <v>32</v>
      </c>
      <c r="V91" s="152" t="str">
        <f>'[2]data PPTK'!S76</f>
        <v>IKA WIJAYANTI,SE</v>
      </c>
      <c r="W91" s="153" t="str">
        <f>'[2]data PPTK'!T76</f>
        <v>UMUM</v>
      </c>
    </row>
    <row r="92" spans="1:39" s="173" customFormat="1" ht="13.2" customHeight="1" x14ac:dyDescent="0.2">
      <c r="A92" s="168" t="s">
        <v>52</v>
      </c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70"/>
      <c r="W92" s="171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</row>
    <row r="93" spans="1:39" s="173" customFormat="1" ht="13.2" customHeight="1" x14ac:dyDescent="0.2">
      <c r="A93" s="168" t="s">
        <v>53</v>
      </c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70">
        <v>1</v>
      </c>
      <c r="W93" s="171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</row>
    <row r="94" spans="1:39" s="193" customFormat="1" ht="15.6" customHeight="1" x14ac:dyDescent="0.25">
      <c r="A94" s="84"/>
      <c r="B94" s="187"/>
      <c r="C94" s="187"/>
      <c r="D94" s="187"/>
      <c r="E94" s="187"/>
      <c r="F94" s="174" t="s">
        <v>114</v>
      </c>
      <c r="G94" s="183" t="s">
        <v>115</v>
      </c>
      <c r="H94" s="126">
        <v>100</v>
      </c>
      <c r="I94" s="126"/>
      <c r="J94" s="126">
        <f>J95</f>
        <v>2847000</v>
      </c>
      <c r="K94" s="126">
        <v>100</v>
      </c>
      <c r="L94" s="128"/>
      <c r="M94" s="126">
        <f>M95</f>
        <v>563668.97600000002</v>
      </c>
      <c r="N94" s="129">
        <v>100</v>
      </c>
      <c r="O94" s="188"/>
      <c r="P94" s="126">
        <f>P95</f>
        <v>577100</v>
      </c>
      <c r="Q94" s="126">
        <f>Q95</f>
        <v>577100</v>
      </c>
      <c r="R94" s="189">
        <f t="shared" si="0"/>
        <v>0</v>
      </c>
      <c r="S94" s="129"/>
      <c r="T94" s="190"/>
      <c r="U94" s="176" t="str">
        <f>U95</f>
        <v>...</v>
      </c>
      <c r="V94" s="191"/>
      <c r="W94" s="192"/>
    </row>
    <row r="95" spans="1:39" s="97" customFormat="1" ht="15.6" customHeight="1" x14ac:dyDescent="0.25">
      <c r="A95" s="136"/>
      <c r="B95" s="137"/>
      <c r="C95" s="137"/>
      <c r="D95" s="137"/>
      <c r="E95" s="137"/>
      <c r="F95" s="155" t="str">
        <f>[1]Mei!$B$348</f>
        <v>Pendampingan Portal Informasi Berbasis Web</v>
      </c>
      <c r="G95" s="177" t="s">
        <v>116</v>
      </c>
      <c r="H95" s="140">
        <v>60</v>
      </c>
      <c r="I95" s="140"/>
      <c r="J95" s="140">
        <f>2847000000/1000</f>
        <v>2847000</v>
      </c>
      <c r="K95" s="158">
        <v>1</v>
      </c>
      <c r="L95" s="143" t="s">
        <v>98</v>
      </c>
      <c r="M95" s="158">
        <f>563668976/1000</f>
        <v>563668.97600000002</v>
      </c>
      <c r="N95" s="145">
        <v>1</v>
      </c>
      <c r="O95" s="146" t="s">
        <v>98</v>
      </c>
      <c r="P95" s="159">
        <f>577100000/1000</f>
        <v>577100</v>
      </c>
      <c r="Q95" s="148">
        <f>577100000/1000</f>
        <v>577100</v>
      </c>
      <c r="R95" s="149">
        <f t="shared" si="0"/>
        <v>0</v>
      </c>
      <c r="S95" s="150" t="s">
        <v>32</v>
      </c>
      <c r="T95" s="146" t="s">
        <v>31</v>
      </c>
      <c r="U95" s="150" t="s">
        <v>32</v>
      </c>
      <c r="V95" s="152" t="str">
        <f>'[2]data PPTK'!S79</f>
        <v>FRANKLIN,SE</v>
      </c>
      <c r="W95" s="153" t="str">
        <f>'[2]data PPTK'!T79</f>
        <v>PEMBANGUNAN</v>
      </c>
    </row>
    <row r="96" spans="1:39" s="173" customFormat="1" ht="13.2" customHeight="1" x14ac:dyDescent="0.2">
      <c r="A96" s="168" t="s">
        <v>52</v>
      </c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70"/>
      <c r="W96" s="171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</row>
    <row r="97" spans="1:39" s="173" customFormat="1" ht="13.2" customHeight="1" x14ac:dyDescent="0.2">
      <c r="A97" s="168" t="s">
        <v>53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70">
        <v>1</v>
      </c>
      <c r="W97" s="171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</row>
    <row r="98" spans="1:39" s="193" customFormat="1" ht="15.6" customHeight="1" x14ac:dyDescent="0.25">
      <c r="A98" s="84"/>
      <c r="B98" s="187"/>
      <c r="C98" s="187"/>
      <c r="D98" s="187"/>
      <c r="E98" s="187"/>
      <c r="F98" s="174" t="s">
        <v>117</v>
      </c>
      <c r="G98" s="129"/>
      <c r="H98" s="196">
        <f>H99</f>
        <v>0</v>
      </c>
      <c r="I98" s="196"/>
      <c r="J98" s="196">
        <f>J99</f>
        <v>0</v>
      </c>
      <c r="K98" s="196">
        <f>K99</f>
        <v>0</v>
      </c>
      <c r="L98" s="128"/>
      <c r="M98" s="196">
        <f>M99</f>
        <v>0</v>
      </c>
      <c r="N98" s="129">
        <v>100</v>
      </c>
      <c r="O98" s="188"/>
      <c r="P98" s="196">
        <f>P99</f>
        <v>42900</v>
      </c>
      <c r="Q98" s="185">
        <f>Q99</f>
        <v>141475.5</v>
      </c>
      <c r="R98" s="189">
        <f t="shared" si="0"/>
        <v>-98575.5</v>
      </c>
      <c r="S98" s="197"/>
      <c r="T98" s="190"/>
      <c r="U98" s="198"/>
      <c r="V98" s="191"/>
      <c r="W98" s="192"/>
    </row>
    <row r="99" spans="1:39" s="97" customFormat="1" ht="15.6" customHeight="1" x14ac:dyDescent="0.25">
      <c r="A99" s="136"/>
      <c r="B99" s="137"/>
      <c r="C99" s="137"/>
      <c r="D99" s="137"/>
      <c r="E99" s="137"/>
      <c r="F99" s="155" t="str">
        <f>[1]Mei!$B$357</f>
        <v>Rapat Pengurus Komwil Forsedasi Prov. Kalteng</v>
      </c>
      <c r="G99" s="199" t="s">
        <v>118</v>
      </c>
      <c r="H99" s="140">
        <v>0</v>
      </c>
      <c r="I99" s="140"/>
      <c r="J99" s="140">
        <v>0</v>
      </c>
      <c r="K99" s="158">
        <v>0</v>
      </c>
      <c r="L99" s="143"/>
      <c r="M99" s="158">
        <v>0</v>
      </c>
      <c r="N99" s="145">
        <v>1</v>
      </c>
      <c r="O99" s="146" t="s">
        <v>98</v>
      </c>
      <c r="P99" s="159">
        <f>42900000/1000</f>
        <v>42900</v>
      </c>
      <c r="Q99" s="200">
        <f>141475500/1000</f>
        <v>141475.5</v>
      </c>
      <c r="R99" s="149">
        <f t="shared" si="0"/>
        <v>-98575.5</v>
      </c>
      <c r="S99" s="150" t="s">
        <v>32</v>
      </c>
      <c r="T99" s="146" t="s">
        <v>98</v>
      </c>
      <c r="U99" s="150" t="s">
        <v>32</v>
      </c>
      <c r="V99" s="152" t="str">
        <f>'[2]data PPTK'!S82</f>
        <v>SABANG PARULIAN,SP</v>
      </c>
      <c r="W99" s="153" t="str">
        <f>'[2]data PPTK'!T82</f>
        <v>ORGANISASI</v>
      </c>
    </row>
    <row r="100" spans="1:39" s="173" customFormat="1" ht="13.2" customHeight="1" x14ac:dyDescent="0.2">
      <c r="A100" s="168" t="s">
        <v>52</v>
      </c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70"/>
      <c r="W100" s="171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</row>
    <row r="101" spans="1:39" s="173" customFormat="1" ht="13.2" customHeight="1" x14ac:dyDescent="0.2">
      <c r="A101" s="168" t="s">
        <v>53</v>
      </c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70">
        <v>1</v>
      </c>
      <c r="W101" s="171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</row>
    <row r="102" spans="1:39" s="193" customFormat="1" ht="15.6" customHeight="1" x14ac:dyDescent="0.25">
      <c r="A102" s="84"/>
      <c r="B102" s="187"/>
      <c r="C102" s="187"/>
      <c r="D102" s="187"/>
      <c r="E102" s="187"/>
      <c r="F102" s="201" t="s">
        <v>119</v>
      </c>
      <c r="G102" s="183" t="s">
        <v>120</v>
      </c>
      <c r="H102" s="126">
        <v>100</v>
      </c>
      <c r="I102" s="126"/>
      <c r="J102" s="126">
        <f>SUM(J103:J107)</f>
        <v>3405690.6359999999</v>
      </c>
      <c r="K102" s="126">
        <v>100</v>
      </c>
      <c r="L102" s="128"/>
      <c r="M102" s="126">
        <f>SUM(M103:M107)</f>
        <v>446737.64999999997</v>
      </c>
      <c r="N102" s="129">
        <v>100</v>
      </c>
      <c r="O102" s="188"/>
      <c r="P102" s="126">
        <f>SUM(P103:P107)</f>
        <v>457623.45500000002</v>
      </c>
      <c r="Q102" s="126">
        <f>SUM(Q103:Q107)</f>
        <v>476154.80499999999</v>
      </c>
      <c r="R102" s="189">
        <f t="shared" si="0"/>
        <v>-18531.349999999977</v>
      </c>
      <c r="S102" s="129"/>
      <c r="T102" s="190"/>
      <c r="U102" s="176">
        <f>SUM(U103:U107)</f>
        <v>0</v>
      </c>
      <c r="V102" s="191"/>
      <c r="W102" s="192"/>
    </row>
    <row r="103" spans="1:39" s="97" customFormat="1" ht="15.6" customHeight="1" x14ac:dyDescent="0.25">
      <c r="A103" s="136"/>
      <c r="B103" s="137"/>
      <c r="C103" s="137"/>
      <c r="D103" s="137"/>
      <c r="E103" s="137"/>
      <c r="F103" s="155" t="str">
        <f>[1]Mei!$B$373</f>
        <v>Pembuatan Perda &amp; Perkada</v>
      </c>
      <c r="G103" s="177" t="s">
        <v>121</v>
      </c>
      <c r="H103" s="140">
        <v>25</v>
      </c>
      <c r="I103" s="140"/>
      <c r="J103" s="140">
        <f>1008735804/1000</f>
        <v>1008735.804</v>
      </c>
      <c r="K103" s="158">
        <v>27</v>
      </c>
      <c r="L103" s="146" t="s">
        <v>90</v>
      </c>
      <c r="M103" s="158">
        <f>113853700/1000</f>
        <v>113853.7</v>
      </c>
      <c r="N103" s="145">
        <v>10</v>
      </c>
      <c r="O103" s="146" t="s">
        <v>90</v>
      </c>
      <c r="P103" s="159">
        <f>122749250/1000</f>
        <v>122749.25</v>
      </c>
      <c r="Q103" s="148">
        <f>153280500/1000</f>
        <v>153280.5</v>
      </c>
      <c r="R103" s="149">
        <f t="shared" si="0"/>
        <v>-30531.25</v>
      </c>
      <c r="S103" s="150" t="s">
        <v>32</v>
      </c>
      <c r="T103" s="146" t="s">
        <v>90</v>
      </c>
      <c r="U103" s="150" t="s">
        <v>32</v>
      </c>
      <c r="V103" s="152" t="str">
        <f>'[2]data PPTK'!S85</f>
        <v>LEDIANSYAH,SH</v>
      </c>
      <c r="W103" s="153" t="str">
        <f>'[2]data PPTK'!T85</f>
        <v>HUKUM</v>
      </c>
    </row>
    <row r="104" spans="1:39" s="97" customFormat="1" ht="15.6" customHeight="1" x14ac:dyDescent="0.25">
      <c r="A104" s="136"/>
      <c r="B104" s="137"/>
      <c r="C104" s="137"/>
      <c r="D104" s="137"/>
      <c r="E104" s="137"/>
      <c r="F104" s="155" t="str">
        <f>[1]Mei!$B$383</f>
        <v>Sosialisasi Perda Kab. LMD</v>
      </c>
      <c r="G104" s="177" t="s">
        <v>122</v>
      </c>
      <c r="H104" s="140">
        <v>40</v>
      </c>
      <c r="I104" s="140"/>
      <c r="J104" s="140">
        <f>1402702684/1000</f>
        <v>1402702.6839999999</v>
      </c>
      <c r="K104" s="158">
        <v>8</v>
      </c>
      <c r="L104" s="146" t="s">
        <v>123</v>
      </c>
      <c r="M104" s="158">
        <f>193489600/1000</f>
        <v>193489.6</v>
      </c>
      <c r="N104" s="145">
        <v>8</v>
      </c>
      <c r="O104" s="146" t="s">
        <v>123</v>
      </c>
      <c r="P104" s="163">
        <f>193999900/1000</f>
        <v>193999.9</v>
      </c>
      <c r="Q104" s="148">
        <f>193999900/1000</f>
        <v>193999.9</v>
      </c>
      <c r="R104" s="149">
        <f t="shared" si="0"/>
        <v>0</v>
      </c>
      <c r="S104" s="150">
        <v>4</v>
      </c>
      <c r="T104" s="146" t="s">
        <v>123</v>
      </c>
      <c r="U104" s="150" t="s">
        <v>32</v>
      </c>
      <c r="V104" s="152" t="str">
        <f>'[2]data PPTK'!S86</f>
        <v>SINGPI,SH</v>
      </c>
      <c r="W104" s="153" t="str">
        <f>'[2]data PPTK'!T86</f>
        <v>HUKUM</v>
      </c>
    </row>
    <row r="105" spans="1:39" s="97" customFormat="1" ht="17.25" customHeight="1" x14ac:dyDescent="0.25">
      <c r="A105" s="136"/>
      <c r="B105" s="137"/>
      <c r="C105" s="137"/>
      <c r="D105" s="137"/>
      <c r="E105" s="137"/>
      <c r="F105" s="155" t="str">
        <f>[1]Mei!$B$396</f>
        <v>Program Legislasi Daerah (Prolegda)</v>
      </c>
      <c r="G105" s="177" t="s">
        <v>124</v>
      </c>
      <c r="H105" s="140">
        <v>5</v>
      </c>
      <c r="I105" s="140"/>
      <c r="J105" s="140">
        <f>245648838/1000</f>
        <v>245648.83799999999</v>
      </c>
      <c r="K105" s="158">
        <v>1</v>
      </c>
      <c r="L105" s="146" t="s">
        <v>110</v>
      </c>
      <c r="M105" s="158">
        <f>43986850/1000</f>
        <v>43986.85</v>
      </c>
      <c r="N105" s="145">
        <v>1</v>
      </c>
      <c r="O105" s="146" t="s">
        <v>110</v>
      </c>
      <c r="P105" s="163">
        <f>44325250/1000</f>
        <v>44325.25</v>
      </c>
      <c r="Q105" s="148">
        <v>0</v>
      </c>
      <c r="R105" s="149">
        <f t="shared" si="0"/>
        <v>44325.25</v>
      </c>
      <c r="S105" s="150" t="s">
        <v>32</v>
      </c>
      <c r="T105" s="146"/>
      <c r="U105" s="150" t="s">
        <v>32</v>
      </c>
      <c r="V105" s="152"/>
      <c r="W105" s="157"/>
    </row>
    <row r="106" spans="1:39" s="161" customFormat="1" ht="15.6" customHeight="1" x14ac:dyDescent="0.25">
      <c r="A106" s="136"/>
      <c r="B106" s="137"/>
      <c r="C106" s="137"/>
      <c r="D106" s="137"/>
      <c r="E106" s="137"/>
      <c r="F106" s="179" t="s">
        <v>125</v>
      </c>
      <c r="G106" s="202" t="s">
        <v>126</v>
      </c>
      <c r="H106" s="159"/>
      <c r="I106" s="159"/>
      <c r="J106" s="159"/>
      <c r="K106" s="159"/>
      <c r="L106" s="146"/>
      <c r="M106" s="159"/>
      <c r="N106" s="145">
        <v>1</v>
      </c>
      <c r="O106" s="146" t="s">
        <v>110</v>
      </c>
      <c r="P106" s="163"/>
      <c r="Q106" s="148">
        <f>32325350/1000</f>
        <v>32325.35</v>
      </c>
      <c r="R106" s="149">
        <f t="shared" si="0"/>
        <v>-32325.35</v>
      </c>
      <c r="S106" s="150" t="s">
        <v>32</v>
      </c>
      <c r="T106" s="146"/>
      <c r="U106" s="150" t="s">
        <v>32</v>
      </c>
      <c r="V106" s="152" t="str">
        <f>'[2]data PPTK'!S87</f>
        <v>ELLY YOSEPH,SH</v>
      </c>
      <c r="W106" s="153" t="str">
        <f>'[2]data PPTK'!T87</f>
        <v>HUKUM</v>
      </c>
    </row>
    <row r="107" spans="1:39" s="97" customFormat="1" ht="15.6" customHeight="1" x14ac:dyDescent="0.25">
      <c r="A107" s="136"/>
      <c r="B107" s="137"/>
      <c r="C107" s="137"/>
      <c r="D107" s="137"/>
      <c r="E107" s="137"/>
      <c r="F107" s="155" t="str">
        <f>[1]Mei!$B$405</f>
        <v>Penyuluhan Hukum Terpadu</v>
      </c>
      <c r="G107" s="177" t="s">
        <v>127</v>
      </c>
      <c r="H107" s="140">
        <v>1500</v>
      </c>
      <c r="I107" s="140"/>
      <c r="J107" s="140">
        <f>748603310/1000</f>
        <v>748603.31</v>
      </c>
      <c r="K107" s="158">
        <v>1</v>
      </c>
      <c r="L107" s="143" t="s">
        <v>98</v>
      </c>
      <c r="M107" s="158">
        <f>95407500/1000</f>
        <v>95407.5</v>
      </c>
      <c r="N107" s="145">
        <v>1</v>
      </c>
      <c r="O107" s="146" t="s">
        <v>98</v>
      </c>
      <c r="P107" s="163">
        <f>96549055/1000</f>
        <v>96549.054999999993</v>
      </c>
      <c r="Q107" s="148">
        <f>96549055/1000</f>
        <v>96549.054999999993</v>
      </c>
      <c r="R107" s="149">
        <f t="shared" si="0"/>
        <v>0</v>
      </c>
      <c r="S107" s="150" t="s">
        <v>32</v>
      </c>
      <c r="T107" s="146" t="s">
        <v>36</v>
      </c>
      <c r="U107" s="150" t="s">
        <v>32</v>
      </c>
      <c r="V107" s="152" t="str">
        <f>'[2]data PPTK'!S88</f>
        <v>LEDIANSYAH,SH</v>
      </c>
      <c r="W107" s="153" t="str">
        <f>'[2]data PPTK'!T88</f>
        <v>HUKUM</v>
      </c>
    </row>
    <row r="108" spans="1:39" s="173" customFormat="1" ht="13.2" customHeight="1" x14ac:dyDescent="0.2">
      <c r="A108" s="168" t="s">
        <v>52</v>
      </c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70"/>
      <c r="W108" s="171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</row>
    <row r="109" spans="1:39" s="173" customFormat="1" ht="13.2" customHeight="1" x14ac:dyDescent="0.2">
      <c r="A109" s="168" t="s">
        <v>53</v>
      </c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70">
        <v>1</v>
      </c>
      <c r="W109" s="171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</row>
    <row r="110" spans="1:39" s="193" customFormat="1" ht="15.6" customHeight="1" x14ac:dyDescent="0.25">
      <c r="A110" s="84"/>
      <c r="B110" s="187"/>
      <c r="C110" s="187"/>
      <c r="D110" s="187"/>
      <c r="E110" s="187"/>
      <c r="F110" s="174" t="s">
        <v>128</v>
      </c>
      <c r="G110" s="183" t="s">
        <v>129</v>
      </c>
      <c r="H110" s="126">
        <v>100</v>
      </c>
      <c r="I110" s="126"/>
      <c r="J110" s="126">
        <f>SUM(J111:J115)</f>
        <v>2000057.4870000002</v>
      </c>
      <c r="K110" s="126">
        <v>100</v>
      </c>
      <c r="L110" s="128"/>
      <c r="M110" s="126">
        <f>SUM(M111:M115)</f>
        <v>227904.7</v>
      </c>
      <c r="N110" s="129">
        <v>100</v>
      </c>
      <c r="O110" s="188"/>
      <c r="P110" s="126">
        <f>SUM(P111:P115)</f>
        <v>530000</v>
      </c>
      <c r="Q110" s="126">
        <f>SUM(Q111:Q117)</f>
        <v>427330</v>
      </c>
      <c r="R110" s="189">
        <f t="shared" si="0"/>
        <v>102670</v>
      </c>
      <c r="S110" s="129"/>
      <c r="T110" s="190"/>
      <c r="U110" s="176">
        <f>SUM(U111:U115)</f>
        <v>0</v>
      </c>
      <c r="V110" s="191"/>
      <c r="W110" s="192"/>
    </row>
    <row r="111" spans="1:39" s="97" customFormat="1" ht="15.6" customHeight="1" x14ac:dyDescent="0.25">
      <c r="A111" s="136"/>
      <c r="B111" s="137"/>
      <c r="C111" s="137"/>
      <c r="D111" s="137"/>
      <c r="E111" s="137"/>
      <c r="F111" s="155" t="str">
        <f>[1]Mei!$B$421</f>
        <v>Percepatan Penyelesaian Tapal Batas Wil Amd Antar Daerah</v>
      </c>
      <c r="G111" s="177" t="s">
        <v>130</v>
      </c>
      <c r="H111" s="140">
        <v>5</v>
      </c>
      <c r="I111" s="140"/>
      <c r="J111" s="140">
        <f>773588375/1000</f>
        <v>773588.375</v>
      </c>
      <c r="K111" s="158">
        <v>1</v>
      </c>
      <c r="L111" s="146" t="s">
        <v>90</v>
      </c>
      <c r="M111" s="158">
        <f>84570200/1000</f>
        <v>84570.2</v>
      </c>
      <c r="N111" s="145">
        <v>1</v>
      </c>
      <c r="O111" s="146" t="s">
        <v>90</v>
      </c>
      <c r="P111" s="178">
        <f>85000000/1000</f>
        <v>85000</v>
      </c>
      <c r="Q111" s="148">
        <f>96800000/1000</f>
        <v>96800</v>
      </c>
      <c r="R111" s="149">
        <f t="shared" ref="R111:R134" si="1">P111-Q111</f>
        <v>-11800</v>
      </c>
      <c r="S111" s="150" t="s">
        <v>32</v>
      </c>
      <c r="T111" s="146" t="s">
        <v>90</v>
      </c>
      <c r="U111" s="150" t="s">
        <v>32</v>
      </c>
      <c r="V111" s="152" t="str">
        <f>'[2]data PPTK'!S91</f>
        <v>PAULUS SINGKAP,S.Sos</v>
      </c>
      <c r="W111" s="153" t="str">
        <f>'[2]data PPTK'!T91</f>
        <v>PEMERINTAHAN</v>
      </c>
    </row>
    <row r="112" spans="1:39" s="97" customFormat="1" ht="15.6" customHeight="1" x14ac:dyDescent="0.25">
      <c r="A112" s="136"/>
      <c r="B112" s="137"/>
      <c r="C112" s="137"/>
      <c r="D112" s="137"/>
      <c r="E112" s="137"/>
      <c r="F112" s="155" t="str">
        <f>[1]Mei!$B$426</f>
        <v>Tata Batas Antar Desa dan Kec.</v>
      </c>
      <c r="G112" s="177" t="s">
        <v>131</v>
      </c>
      <c r="H112" s="140">
        <v>5</v>
      </c>
      <c r="I112" s="140"/>
      <c r="J112" s="140">
        <f>309435350/1000</f>
        <v>309435.34999999998</v>
      </c>
      <c r="K112" s="158">
        <v>1</v>
      </c>
      <c r="L112" s="146" t="s">
        <v>110</v>
      </c>
      <c r="M112" s="158">
        <f>23940000/1000</f>
        <v>23940</v>
      </c>
      <c r="N112" s="145">
        <v>1</v>
      </c>
      <c r="O112" s="146" t="s">
        <v>110</v>
      </c>
      <c r="P112" s="159">
        <f>25000000/1000</f>
        <v>25000</v>
      </c>
      <c r="Q112" s="148">
        <f>65000000/1000</f>
        <v>65000</v>
      </c>
      <c r="R112" s="149">
        <f t="shared" si="1"/>
        <v>-40000</v>
      </c>
      <c r="S112" s="150" t="s">
        <v>32</v>
      </c>
      <c r="T112" s="146" t="s">
        <v>110</v>
      </c>
      <c r="U112" s="150" t="s">
        <v>32</v>
      </c>
      <c r="V112" s="152" t="str">
        <f>'[2]data PPTK'!S92</f>
        <v>PUJI RAHMAT PRATAMA,S.IP</v>
      </c>
      <c r="W112" s="153" t="str">
        <f>'[2]data PPTK'!T92</f>
        <v>PEMERINTAHAN</v>
      </c>
    </row>
    <row r="113" spans="1:39" s="97" customFormat="1" ht="15.6" customHeight="1" x14ac:dyDescent="0.25">
      <c r="A113" s="136"/>
      <c r="B113" s="137"/>
      <c r="C113" s="137"/>
      <c r="D113" s="137"/>
      <c r="E113" s="137"/>
      <c r="F113" s="155" t="s">
        <v>132</v>
      </c>
      <c r="G113" s="177" t="s">
        <v>133</v>
      </c>
      <c r="H113" s="140">
        <v>5</v>
      </c>
      <c r="I113" s="140"/>
      <c r="J113" s="140">
        <f>359166031/1000</f>
        <v>359166.03100000002</v>
      </c>
      <c r="K113" s="158">
        <v>1</v>
      </c>
      <c r="L113" s="146" t="s">
        <v>98</v>
      </c>
      <c r="M113" s="158">
        <f>49715000/1000</f>
        <v>49715</v>
      </c>
      <c r="N113" s="145">
        <v>1</v>
      </c>
      <c r="O113" s="146" t="s">
        <v>98</v>
      </c>
      <c r="P113" s="163">
        <f>50000000/1000</f>
        <v>50000</v>
      </c>
      <c r="Q113" s="148">
        <f>60000000/1000</f>
        <v>60000</v>
      </c>
      <c r="R113" s="149">
        <f t="shared" si="1"/>
        <v>-10000</v>
      </c>
      <c r="S113" s="150" t="s">
        <v>32</v>
      </c>
      <c r="T113" s="146" t="s">
        <v>98</v>
      </c>
      <c r="U113" s="150" t="s">
        <v>32</v>
      </c>
      <c r="V113" s="152" t="str">
        <f>'[2]data PPTK'!S93</f>
        <v>SUSANTO, S.STP</v>
      </c>
      <c r="W113" s="153" t="str">
        <f>'[2]data PPTK'!T93</f>
        <v>PEMERINTAHAN</v>
      </c>
    </row>
    <row r="114" spans="1:39" s="97" customFormat="1" ht="14.25" customHeight="1" x14ac:dyDescent="0.25">
      <c r="A114" s="136"/>
      <c r="B114" s="137"/>
      <c r="C114" s="137"/>
      <c r="D114" s="137"/>
      <c r="E114" s="137"/>
      <c r="F114" s="155" t="str">
        <f>[1]Mei!$B$433</f>
        <v>Penyusunan LPPD dan ILPPD</v>
      </c>
      <c r="G114" s="177" t="s">
        <v>134</v>
      </c>
      <c r="H114" s="140">
        <v>5</v>
      </c>
      <c r="I114" s="140"/>
      <c r="J114" s="140">
        <f>557867731/1000</f>
        <v>557867.73100000003</v>
      </c>
      <c r="K114" s="158">
        <v>1</v>
      </c>
      <c r="L114" s="146" t="s">
        <v>92</v>
      </c>
      <c r="M114" s="158">
        <f>69679500/1000</f>
        <v>69679.5</v>
      </c>
      <c r="N114" s="145">
        <v>1</v>
      </c>
      <c r="O114" s="146" t="s">
        <v>92</v>
      </c>
      <c r="P114" s="163">
        <f>70000000/1000</f>
        <v>70000</v>
      </c>
      <c r="Q114" s="148">
        <f>168625000/1000</f>
        <v>168625</v>
      </c>
      <c r="R114" s="149">
        <f>P114-Q114</f>
        <v>-98625</v>
      </c>
      <c r="S114" s="150" t="s">
        <v>32</v>
      </c>
      <c r="T114" s="146" t="s">
        <v>92</v>
      </c>
      <c r="U114" s="150" t="s">
        <v>32</v>
      </c>
      <c r="V114" s="152" t="str">
        <f>'[2]data PPTK'!S94</f>
        <v>PAULUS SINGKAP,S.Sos</v>
      </c>
      <c r="W114" s="153" t="str">
        <f>'[2]data PPTK'!T94</f>
        <v>PEMERINTAHAN</v>
      </c>
    </row>
    <row r="115" spans="1:39" s="216" customFormat="1" ht="15" customHeight="1" x14ac:dyDescent="0.25">
      <c r="A115" s="203"/>
      <c r="B115" s="204"/>
      <c r="C115" s="204"/>
      <c r="D115" s="204"/>
      <c r="E115" s="204"/>
      <c r="F115" s="205" t="s">
        <v>135</v>
      </c>
      <c r="G115" s="206" t="s">
        <v>136</v>
      </c>
      <c r="H115" s="207"/>
      <c r="I115" s="207"/>
      <c r="J115" s="207"/>
      <c r="K115" s="207"/>
      <c r="L115" s="208"/>
      <c r="M115" s="207"/>
      <c r="N115" s="209">
        <v>1</v>
      </c>
      <c r="O115" s="208" t="s">
        <v>92</v>
      </c>
      <c r="P115" s="210">
        <f>300000000/1000</f>
        <v>300000</v>
      </c>
      <c r="Q115" s="211">
        <v>0</v>
      </c>
      <c r="R115" s="212">
        <f t="shared" si="1"/>
        <v>300000</v>
      </c>
      <c r="S115" s="209"/>
      <c r="T115" s="208" t="s">
        <v>92</v>
      </c>
      <c r="U115" s="213"/>
      <c r="V115" s="214"/>
      <c r="W115" s="215"/>
    </row>
    <row r="116" spans="1:39" s="161" customFormat="1" ht="15.6" customHeight="1" x14ac:dyDescent="0.25">
      <c r="A116" s="136"/>
      <c r="B116" s="137"/>
      <c r="C116" s="137"/>
      <c r="D116" s="137"/>
      <c r="E116" s="137"/>
      <c r="F116" s="179" t="s">
        <v>137</v>
      </c>
      <c r="G116" s="180"/>
      <c r="H116" s="159"/>
      <c r="I116" s="159"/>
      <c r="J116" s="159"/>
      <c r="K116" s="159"/>
      <c r="L116" s="146"/>
      <c r="M116" s="159"/>
      <c r="N116" s="145"/>
      <c r="O116" s="146"/>
      <c r="P116" s="163"/>
      <c r="Q116" s="148">
        <f>16042500/1000</f>
        <v>16042.5</v>
      </c>
      <c r="R116" s="149">
        <f>P116-Q116</f>
        <v>-16042.5</v>
      </c>
      <c r="S116" s="150" t="s">
        <v>32</v>
      </c>
      <c r="T116" s="146"/>
      <c r="U116" s="150" t="s">
        <v>32</v>
      </c>
      <c r="V116" s="152" t="str">
        <f>'[2]data PPTK'!S95</f>
        <v>PUJI RAHMAT PRATAMA,S.IP</v>
      </c>
      <c r="W116" s="153" t="str">
        <f>'[2]data PPTK'!T95</f>
        <v>PEMERINTAHAN</v>
      </c>
    </row>
    <row r="117" spans="1:39" s="161" customFormat="1" ht="15.6" customHeight="1" x14ac:dyDescent="0.25">
      <c r="A117" s="136"/>
      <c r="B117" s="137"/>
      <c r="C117" s="137"/>
      <c r="D117" s="137"/>
      <c r="E117" s="137"/>
      <c r="F117" s="179" t="s">
        <v>138</v>
      </c>
      <c r="G117" s="180"/>
      <c r="H117" s="159"/>
      <c r="I117" s="159"/>
      <c r="J117" s="159"/>
      <c r="K117" s="159"/>
      <c r="L117" s="146"/>
      <c r="M117" s="159"/>
      <c r="N117" s="145"/>
      <c r="O117" s="146"/>
      <c r="P117" s="163"/>
      <c r="Q117" s="148">
        <f>20862500/1000</f>
        <v>20862.5</v>
      </c>
      <c r="R117" s="149">
        <f>P117-Q117</f>
        <v>-20862.5</v>
      </c>
      <c r="S117" s="150" t="s">
        <v>32</v>
      </c>
      <c r="T117" s="146"/>
      <c r="U117" s="150" t="s">
        <v>32</v>
      </c>
      <c r="V117" s="152" t="str">
        <f>'[2]data PPTK'!S96</f>
        <v>HARSONO, S.IP</v>
      </c>
      <c r="W117" s="153" t="str">
        <f>W116</f>
        <v>PEMERINTAHAN</v>
      </c>
    </row>
    <row r="118" spans="1:39" s="173" customFormat="1" ht="13.2" customHeight="1" x14ac:dyDescent="0.2">
      <c r="A118" s="168" t="s">
        <v>52</v>
      </c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70"/>
      <c r="W118" s="171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</row>
    <row r="119" spans="1:39" s="173" customFormat="1" ht="13.2" customHeight="1" x14ac:dyDescent="0.2">
      <c r="A119" s="168" t="s">
        <v>53</v>
      </c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70">
        <v>1</v>
      </c>
      <c r="W119" s="171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</row>
    <row r="120" spans="1:39" s="217" customFormat="1" ht="15.6" customHeight="1" x14ac:dyDescent="0.25">
      <c r="A120" s="84"/>
      <c r="B120" s="187"/>
      <c r="C120" s="187"/>
      <c r="D120" s="187"/>
      <c r="E120" s="187"/>
      <c r="F120" s="174" t="s">
        <v>139</v>
      </c>
      <c r="G120" s="183" t="s">
        <v>140</v>
      </c>
      <c r="H120" s="126">
        <v>100</v>
      </c>
      <c r="I120" s="126"/>
      <c r="J120" s="126">
        <f ca="1">SUM(J119:J125)</f>
        <v>22889258.656999994</v>
      </c>
      <c r="K120" s="126">
        <v>100</v>
      </c>
      <c r="L120" s="128"/>
      <c r="M120" s="126">
        <f>SUM(M121:M122)</f>
        <v>0</v>
      </c>
      <c r="N120" s="129">
        <v>100</v>
      </c>
      <c r="O120" s="188"/>
      <c r="P120" s="126">
        <f ca="1">SUM(P119:P125)</f>
        <v>0</v>
      </c>
      <c r="Q120" s="126">
        <f>SUM(Q121:Q122)</f>
        <v>1404632.5</v>
      </c>
      <c r="R120" s="189">
        <f ca="1">P120-Q120</f>
        <v>0</v>
      </c>
      <c r="S120" s="129"/>
      <c r="T120" s="190"/>
      <c r="U120" s="176">
        <f ca="1">SUM(U119:U125)</f>
        <v>0</v>
      </c>
      <c r="V120" s="191"/>
      <c r="W120" s="192"/>
    </row>
    <row r="121" spans="1:39" s="161" customFormat="1" ht="15.6" customHeight="1" x14ac:dyDescent="0.25">
      <c r="A121" s="136"/>
      <c r="B121" s="137"/>
      <c r="C121" s="137"/>
      <c r="D121" s="137"/>
      <c r="E121" s="137"/>
      <c r="F121" s="179" t="s">
        <v>141</v>
      </c>
      <c r="G121" s="180"/>
      <c r="H121" s="159"/>
      <c r="I121" s="159"/>
      <c r="J121" s="159"/>
      <c r="K121" s="159"/>
      <c r="L121" s="146"/>
      <c r="M121" s="159"/>
      <c r="N121" s="145"/>
      <c r="O121" s="146"/>
      <c r="P121" s="163"/>
      <c r="Q121" s="148">
        <f>1203200000/1000</f>
        <v>1203200</v>
      </c>
      <c r="R121" s="149">
        <f>P121-Q121</f>
        <v>-1203200</v>
      </c>
      <c r="S121" s="150" t="s">
        <v>32</v>
      </c>
      <c r="T121" s="218" t="s">
        <v>142</v>
      </c>
      <c r="U121" s="150" t="s">
        <v>32</v>
      </c>
      <c r="V121" s="152" t="str">
        <f>'[2]data PPTK'!S99</f>
        <v>PAULUS SINGKAP,S.Sos</v>
      </c>
      <c r="W121" s="153" t="str">
        <f>'[2]data PPTK'!T99</f>
        <v>PEMERINTAHAN</v>
      </c>
    </row>
    <row r="122" spans="1:39" s="161" customFormat="1" ht="15.6" customHeight="1" x14ac:dyDescent="0.25">
      <c r="A122" s="136"/>
      <c r="B122" s="137"/>
      <c r="C122" s="137"/>
      <c r="D122" s="137"/>
      <c r="E122" s="137"/>
      <c r="F122" s="179" t="s">
        <v>143</v>
      </c>
      <c r="G122" s="180"/>
      <c r="H122" s="159"/>
      <c r="I122" s="159"/>
      <c r="J122" s="159"/>
      <c r="K122" s="159"/>
      <c r="L122" s="146"/>
      <c r="M122" s="159"/>
      <c r="N122" s="145"/>
      <c r="O122" s="146"/>
      <c r="P122" s="163"/>
      <c r="Q122" s="148">
        <f>201432500/1000</f>
        <v>201432.5</v>
      </c>
      <c r="R122" s="149">
        <f>P122-Q122</f>
        <v>-201432.5</v>
      </c>
      <c r="S122" s="150" t="s">
        <v>32</v>
      </c>
      <c r="T122" s="218" t="s">
        <v>36</v>
      </c>
      <c r="U122" s="150" t="s">
        <v>32</v>
      </c>
      <c r="V122" s="152" t="str">
        <f>'[2]data PPTK'!S100</f>
        <v>SRI WAHYUNI,S.Ipem</v>
      </c>
      <c r="W122" s="153" t="str">
        <f>'[2]data PPTK'!T100</f>
        <v>PEMERINTAHAN</v>
      </c>
    </row>
    <row r="123" spans="1:39" s="173" customFormat="1" ht="13.2" customHeight="1" x14ac:dyDescent="0.2">
      <c r="A123" s="168" t="s">
        <v>52</v>
      </c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70"/>
      <c r="W123" s="171"/>
      <c r="X123" s="172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</row>
    <row r="124" spans="1:39" s="173" customFormat="1" ht="13.2" customHeight="1" x14ac:dyDescent="0.2">
      <c r="A124" s="168" t="s">
        <v>53</v>
      </c>
      <c r="B124" s="169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70">
        <v>1</v>
      </c>
      <c r="W124" s="171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</row>
    <row r="125" spans="1:39" s="193" customFormat="1" ht="15.6" customHeight="1" x14ac:dyDescent="0.25">
      <c r="A125" s="84"/>
      <c r="B125" s="187"/>
      <c r="C125" s="187"/>
      <c r="D125" s="187"/>
      <c r="E125" s="187"/>
      <c r="F125" s="174" t="s">
        <v>144</v>
      </c>
      <c r="G125" s="183" t="s">
        <v>145</v>
      </c>
      <c r="H125" s="126">
        <v>100</v>
      </c>
      <c r="I125" s="126"/>
      <c r="J125" s="126">
        <f>SUM(J126:J134)</f>
        <v>22889258.656999994</v>
      </c>
      <c r="K125" s="126">
        <v>100</v>
      </c>
      <c r="L125" s="128"/>
      <c r="M125" s="126">
        <f>SUM(M126:M134)</f>
        <v>3824351.7139999997</v>
      </c>
      <c r="N125" s="129">
        <v>100</v>
      </c>
      <c r="O125" s="188"/>
      <c r="P125" s="126">
        <f>SUM(P126:P134)</f>
        <v>4117247</v>
      </c>
      <c r="Q125" s="126">
        <f>SUM(Q126:Q134)</f>
        <v>4919305.3479999993</v>
      </c>
      <c r="R125" s="189">
        <f>P125-Q125</f>
        <v>-802058.3479999993</v>
      </c>
      <c r="S125" s="129"/>
      <c r="T125" s="190"/>
      <c r="U125" s="176">
        <f>SUM(U126:U134)</f>
        <v>0</v>
      </c>
      <c r="V125" s="191"/>
      <c r="W125" s="192"/>
    </row>
    <row r="126" spans="1:39" s="97" customFormat="1" ht="15.6" customHeight="1" x14ac:dyDescent="0.25">
      <c r="A126" s="136"/>
      <c r="B126" s="137"/>
      <c r="C126" s="137"/>
      <c r="D126" s="137"/>
      <c r="E126" s="137"/>
      <c r="F126" s="155" t="str">
        <f>[1]Mei!$B$439</f>
        <v>Publikasi &amp; Informasi Kegiatan Pembangunan</v>
      </c>
      <c r="G126" s="177" t="s">
        <v>146</v>
      </c>
      <c r="H126" s="140">
        <v>60</v>
      </c>
      <c r="I126" s="140"/>
      <c r="J126" s="140">
        <f>2667242648/1000</f>
        <v>2667242.648</v>
      </c>
      <c r="K126" s="158">
        <v>1</v>
      </c>
      <c r="L126" s="146" t="s">
        <v>110</v>
      </c>
      <c r="M126" s="158">
        <f>448922400/1000</f>
        <v>448922.4</v>
      </c>
      <c r="N126" s="145">
        <v>1</v>
      </c>
      <c r="O126" s="146" t="s">
        <v>110</v>
      </c>
      <c r="P126" s="159">
        <f>450000000/1000</f>
        <v>450000</v>
      </c>
      <c r="Q126" s="148">
        <f>619530000/1000</f>
        <v>619530</v>
      </c>
      <c r="R126" s="149">
        <f t="shared" si="1"/>
        <v>-169530</v>
      </c>
      <c r="S126" s="150" t="s">
        <v>32</v>
      </c>
      <c r="T126" s="146" t="s">
        <v>110</v>
      </c>
      <c r="U126" s="150" t="s">
        <v>32</v>
      </c>
      <c r="V126" s="152" t="str">
        <f>'[2]data PPTK'!S103</f>
        <v>NISAR,S.Pd</v>
      </c>
      <c r="W126" s="153" t="str">
        <f>'[2]data PPTK'!T103</f>
        <v>HUMAS</v>
      </c>
    </row>
    <row r="127" spans="1:39" s="97" customFormat="1" ht="15.6" customHeight="1" x14ac:dyDescent="0.25">
      <c r="A127" s="136"/>
      <c r="B127" s="137"/>
      <c r="C127" s="137"/>
      <c r="D127" s="137"/>
      <c r="E127" s="137"/>
      <c r="F127" s="219" t="str">
        <f>[1]Mei!$B$446</f>
        <v>Kerjasama dengan Media Cetak dan Elektronik</v>
      </c>
      <c r="G127" s="177" t="s">
        <v>147</v>
      </c>
      <c r="H127" s="140">
        <v>60</v>
      </c>
      <c r="I127" s="140"/>
      <c r="J127" s="140">
        <f>16619527267/1000</f>
        <v>16619527.267000001</v>
      </c>
      <c r="K127" s="158">
        <v>1</v>
      </c>
      <c r="L127" s="146" t="s">
        <v>110</v>
      </c>
      <c r="M127" s="158">
        <f>2861997449/1000</f>
        <v>2861997.449</v>
      </c>
      <c r="N127" s="145">
        <v>1</v>
      </c>
      <c r="O127" s="146" t="s">
        <v>110</v>
      </c>
      <c r="P127" s="163">
        <f>3169800000/1000</f>
        <v>3169800</v>
      </c>
      <c r="Q127" s="148">
        <f>3399041500/1000</f>
        <v>3399041.5</v>
      </c>
      <c r="R127" s="149">
        <f t="shared" si="1"/>
        <v>-229241.5</v>
      </c>
      <c r="S127" s="150" t="s">
        <v>32</v>
      </c>
      <c r="T127" s="146" t="s">
        <v>110</v>
      </c>
      <c r="U127" s="150" t="s">
        <v>32</v>
      </c>
      <c r="V127" s="152" t="str">
        <f>'[2]data PPTK'!S104</f>
        <v>NISAR,S.Pd</v>
      </c>
      <c r="W127" s="153" t="str">
        <f>'[2]data PPTK'!T104</f>
        <v>HUMAS</v>
      </c>
    </row>
    <row r="128" spans="1:39" s="97" customFormat="1" ht="15.6" customHeight="1" x14ac:dyDescent="0.25">
      <c r="A128" s="136"/>
      <c r="B128" s="137"/>
      <c r="C128" s="137"/>
      <c r="D128" s="137"/>
      <c r="E128" s="137"/>
      <c r="F128" s="155" t="str">
        <f>[1]Mei!$B$454</f>
        <v>Sistem Pelayanan Informasi dan Pengaduan Masyarakat</v>
      </c>
      <c r="G128" s="177" t="s">
        <v>148</v>
      </c>
      <c r="H128" s="140">
        <v>60</v>
      </c>
      <c r="I128" s="140"/>
      <c r="J128" s="140">
        <f>496702695/1000</f>
        <v>496702.69500000001</v>
      </c>
      <c r="K128" s="158">
        <v>1</v>
      </c>
      <c r="L128" s="146" t="s">
        <v>110</v>
      </c>
      <c r="M128" s="158">
        <f>13610000/1000</f>
        <v>13610</v>
      </c>
      <c r="N128" s="145">
        <v>1</v>
      </c>
      <c r="O128" s="146" t="s">
        <v>110</v>
      </c>
      <c r="P128" s="220">
        <f>20349000/1000</f>
        <v>20349</v>
      </c>
      <c r="Q128" s="148">
        <f>20349000/1000</f>
        <v>20349</v>
      </c>
      <c r="R128" s="149">
        <f t="shared" si="1"/>
        <v>0</v>
      </c>
      <c r="S128" s="150" t="s">
        <v>32</v>
      </c>
      <c r="T128" s="146" t="s">
        <v>110</v>
      </c>
      <c r="U128" s="150" t="s">
        <v>32</v>
      </c>
      <c r="V128" s="152" t="str">
        <f>'[2]data PPTK'!S105</f>
        <v>FRANKLIN,SE</v>
      </c>
      <c r="W128" s="153" t="str">
        <f>'[2]data PPTK'!T105</f>
        <v>PEMBANGUNAN</v>
      </c>
    </row>
    <row r="129" spans="1:39" s="97" customFormat="1" ht="15.6" customHeight="1" x14ac:dyDescent="0.25">
      <c r="A129" s="136"/>
      <c r="B129" s="137"/>
      <c r="C129" s="137"/>
      <c r="D129" s="137"/>
      <c r="E129" s="137"/>
      <c r="F129" s="155" t="str">
        <f>[1]Mei!$B$460</f>
        <v>Kliping Koran</v>
      </c>
      <c r="G129" s="177" t="s">
        <v>149</v>
      </c>
      <c r="H129" s="140">
        <v>5</v>
      </c>
      <c r="I129" s="140"/>
      <c r="J129" s="140">
        <f>209034610/1000</f>
        <v>209034.61</v>
      </c>
      <c r="K129" s="158">
        <v>1</v>
      </c>
      <c r="L129" s="146" t="s">
        <v>110</v>
      </c>
      <c r="M129" s="158">
        <f>24223000/1000</f>
        <v>24223</v>
      </c>
      <c r="N129" s="145">
        <v>1</v>
      </c>
      <c r="O129" s="146" t="s">
        <v>110</v>
      </c>
      <c r="P129" s="159">
        <f>34000000/1000</f>
        <v>34000</v>
      </c>
      <c r="Q129" s="148">
        <f>50925000/1000</f>
        <v>50925</v>
      </c>
      <c r="R129" s="149">
        <f t="shared" si="1"/>
        <v>-16925</v>
      </c>
      <c r="S129" s="150" t="s">
        <v>32</v>
      </c>
      <c r="T129" s="146" t="s">
        <v>110</v>
      </c>
      <c r="U129" s="150" t="s">
        <v>32</v>
      </c>
      <c r="V129" s="152" t="str">
        <f>'[2]data PPTK'!S106</f>
        <v>KAHADI SAPUTRA,SH</v>
      </c>
      <c r="W129" s="153" t="str">
        <f>'[2]data PPTK'!T106</f>
        <v>HUMAS</v>
      </c>
    </row>
    <row r="130" spans="1:39" s="97" customFormat="1" ht="15.6" customHeight="1" x14ac:dyDescent="0.25">
      <c r="A130" s="136"/>
      <c r="B130" s="137"/>
      <c r="C130" s="137"/>
      <c r="D130" s="137"/>
      <c r="E130" s="137"/>
      <c r="F130" s="155" t="str">
        <f>[1]Mei!$B$467</f>
        <v>Buletin Bahaum Bakuba</v>
      </c>
      <c r="G130" s="177" t="s">
        <v>150</v>
      </c>
      <c r="H130" s="140">
        <v>5</v>
      </c>
      <c r="I130" s="140"/>
      <c r="J130" s="140">
        <f>953720408/1000</f>
        <v>953720.40800000005</v>
      </c>
      <c r="K130" s="158">
        <v>1</v>
      </c>
      <c r="L130" s="146" t="s">
        <v>110</v>
      </c>
      <c r="M130" s="158">
        <f>116657000/1000</f>
        <v>116657</v>
      </c>
      <c r="N130" s="145">
        <v>1</v>
      </c>
      <c r="O130" s="146" t="s">
        <v>110</v>
      </c>
      <c r="P130" s="159">
        <f>117280000/1000</f>
        <v>117280</v>
      </c>
      <c r="Q130" s="148">
        <f>197280000/1000</f>
        <v>197280</v>
      </c>
      <c r="R130" s="149">
        <f t="shared" si="1"/>
        <v>-80000</v>
      </c>
      <c r="S130" s="150" t="s">
        <v>32</v>
      </c>
      <c r="T130" s="146" t="s">
        <v>110</v>
      </c>
      <c r="U130" s="150" t="s">
        <v>32</v>
      </c>
      <c r="V130" s="152" t="str">
        <f>'[2]data PPTK'!S107</f>
        <v>NISAR,S.Pd</v>
      </c>
      <c r="W130" s="153" t="str">
        <f>'[2]data PPTK'!T107</f>
        <v>HUMAS</v>
      </c>
    </row>
    <row r="131" spans="1:39" s="97" customFormat="1" ht="15.6" customHeight="1" x14ac:dyDescent="0.25">
      <c r="A131" s="136"/>
      <c r="B131" s="137"/>
      <c r="C131" s="137"/>
      <c r="D131" s="137"/>
      <c r="E131" s="137"/>
      <c r="F131" s="155" t="str">
        <f>[1]Mei!$B$471</f>
        <v xml:space="preserve">Pengelolaan RSPD </v>
      </c>
      <c r="G131" s="177" t="s">
        <v>151</v>
      </c>
      <c r="H131" s="140">
        <v>60</v>
      </c>
      <c r="I131" s="140"/>
      <c r="J131" s="140">
        <f>885146514/1000</f>
        <v>885146.51399999997</v>
      </c>
      <c r="K131" s="158">
        <v>1</v>
      </c>
      <c r="L131" s="146" t="s">
        <v>110</v>
      </c>
      <c r="M131" s="158">
        <f>230692064/1000</f>
        <v>230692.06400000001</v>
      </c>
      <c r="N131" s="145">
        <v>1</v>
      </c>
      <c r="O131" s="146" t="s">
        <v>110</v>
      </c>
      <c r="P131" s="220">
        <f>165380000/1000</f>
        <v>165380</v>
      </c>
      <c r="Q131" s="148">
        <f>321399856/1000</f>
        <v>321399.85600000003</v>
      </c>
      <c r="R131" s="149">
        <f t="shared" si="1"/>
        <v>-156019.85600000003</v>
      </c>
      <c r="S131" s="150" t="s">
        <v>32</v>
      </c>
      <c r="T131" s="146" t="s">
        <v>110</v>
      </c>
      <c r="U131" s="150" t="s">
        <v>32</v>
      </c>
      <c r="V131" s="152" t="str">
        <f>'[2]data PPTK'!S108</f>
        <v>KAHADI SAPUTRA,SH</v>
      </c>
      <c r="W131" s="153" t="str">
        <f>'[2]data PPTK'!T108</f>
        <v>HUMAS</v>
      </c>
    </row>
    <row r="132" spans="1:39" s="97" customFormat="1" ht="15.6" customHeight="1" x14ac:dyDescent="0.25">
      <c r="A132" s="136"/>
      <c r="B132" s="137"/>
      <c r="C132" s="137"/>
      <c r="D132" s="137"/>
      <c r="E132" s="137"/>
      <c r="F132" s="155" t="str">
        <f>[1]Mei!$B$479</f>
        <v>Pengelolaan TVRI</v>
      </c>
      <c r="G132" s="177" t="s">
        <v>152</v>
      </c>
      <c r="H132" s="140">
        <v>60</v>
      </c>
      <c r="I132" s="140"/>
      <c r="J132" s="140">
        <f>637103014/1000</f>
        <v>637103.01399999997</v>
      </c>
      <c r="K132" s="158">
        <v>1</v>
      </c>
      <c r="L132" s="146" t="s">
        <v>110</v>
      </c>
      <c r="M132" s="158">
        <f>21864577/1000</f>
        <v>21864.577000000001</v>
      </c>
      <c r="N132" s="145">
        <v>1</v>
      </c>
      <c r="O132" s="146" t="s">
        <v>110</v>
      </c>
      <c r="P132" s="220">
        <f>53688000/1000</f>
        <v>53688</v>
      </c>
      <c r="Q132" s="148">
        <f>73279992/1000</f>
        <v>73279.991999999998</v>
      </c>
      <c r="R132" s="149">
        <f t="shared" si="1"/>
        <v>-19591.991999999998</v>
      </c>
      <c r="S132" s="150" t="s">
        <v>32</v>
      </c>
      <c r="T132" s="146" t="s">
        <v>110</v>
      </c>
      <c r="U132" s="150" t="s">
        <v>32</v>
      </c>
      <c r="V132" s="152" t="str">
        <f>'[2]data PPTK'!S109</f>
        <v>KAHADI SAPUTRA,SH</v>
      </c>
      <c r="W132" s="153" t="str">
        <f>'[2]data PPTK'!T109</f>
        <v>HUMAS</v>
      </c>
    </row>
    <row r="133" spans="1:39" s="161" customFormat="1" ht="13.8" x14ac:dyDescent="0.25">
      <c r="A133" s="136"/>
      <c r="B133" s="137"/>
      <c r="C133" s="137"/>
      <c r="D133" s="137"/>
      <c r="E133" s="137"/>
      <c r="F133" s="179" t="s">
        <v>153</v>
      </c>
      <c r="G133" s="180"/>
      <c r="H133" s="159"/>
      <c r="I133" s="159"/>
      <c r="J133" s="159"/>
      <c r="K133" s="159"/>
      <c r="L133" s="146"/>
      <c r="M133" s="159"/>
      <c r="N133" s="145"/>
      <c r="O133" s="146"/>
      <c r="P133" s="220"/>
      <c r="Q133" s="148">
        <f>237500000/1000</f>
        <v>237500</v>
      </c>
      <c r="R133" s="149">
        <f t="shared" si="1"/>
        <v>-237500</v>
      </c>
      <c r="S133" s="150" t="s">
        <v>32</v>
      </c>
      <c r="T133" s="146"/>
      <c r="U133" s="150" t="s">
        <v>32</v>
      </c>
      <c r="V133" s="152" t="str">
        <f>'[2]data PPTK'!S110</f>
        <v>NISAR,S.Pd</v>
      </c>
      <c r="W133" s="153" t="str">
        <f>'[2]data PPTK'!T110</f>
        <v>HUMAS</v>
      </c>
    </row>
    <row r="134" spans="1:39" s="216" customFormat="1" ht="15" customHeight="1" x14ac:dyDescent="0.25">
      <c r="A134" s="203"/>
      <c r="B134" s="204"/>
      <c r="C134" s="204"/>
      <c r="D134" s="204"/>
      <c r="E134" s="204"/>
      <c r="F134" s="205" t="str">
        <f>[1]Mei!$B$483</f>
        <v>Pendampingan dan Peliputan Kunj. Bupati / Wakil Bupati</v>
      </c>
      <c r="G134" s="206" t="s">
        <v>154</v>
      </c>
      <c r="H134" s="207">
        <v>60</v>
      </c>
      <c r="I134" s="207"/>
      <c r="J134" s="207">
        <f>420781501/1000</f>
        <v>420781.50099999999</v>
      </c>
      <c r="K134" s="207">
        <v>1</v>
      </c>
      <c r="L134" s="208" t="s">
        <v>110</v>
      </c>
      <c r="M134" s="207">
        <f>106385224/1000</f>
        <v>106385.224</v>
      </c>
      <c r="N134" s="209">
        <v>1</v>
      </c>
      <c r="O134" s="208" t="s">
        <v>110</v>
      </c>
      <c r="P134" s="221">
        <f>106750000/1000</f>
        <v>106750</v>
      </c>
      <c r="Q134" s="211">
        <v>0</v>
      </c>
      <c r="R134" s="212">
        <f t="shared" si="1"/>
        <v>106750</v>
      </c>
      <c r="S134" s="209"/>
      <c r="T134" s="208" t="s">
        <v>110</v>
      </c>
      <c r="U134" s="213"/>
      <c r="V134" s="214"/>
      <c r="W134" s="215"/>
    </row>
    <row r="135" spans="1:39" s="173" customFormat="1" ht="13.2" customHeight="1" x14ac:dyDescent="0.2">
      <c r="A135" s="168" t="s">
        <v>52</v>
      </c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70"/>
      <c r="W135" s="171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</row>
    <row r="136" spans="1:39" s="173" customFormat="1" ht="13.2" customHeight="1" x14ac:dyDescent="0.2">
      <c r="A136" s="168" t="s">
        <v>53</v>
      </c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70">
        <v>1</v>
      </c>
      <c r="W136" s="171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</row>
    <row r="137" spans="1:39" s="193" customFormat="1" ht="15.6" customHeight="1" x14ac:dyDescent="0.25">
      <c r="A137" s="84"/>
      <c r="B137" s="90"/>
      <c r="C137" s="90"/>
      <c r="D137" s="90"/>
      <c r="E137" s="90"/>
      <c r="F137" s="125" t="s">
        <v>155</v>
      </c>
      <c r="G137" s="183" t="s">
        <v>156</v>
      </c>
      <c r="H137" s="196">
        <v>100</v>
      </c>
      <c r="I137" s="196"/>
      <c r="J137" s="196">
        <f>SUM(J138:J139)</f>
        <v>1786853.29</v>
      </c>
      <c r="K137" s="196">
        <v>100</v>
      </c>
      <c r="L137" s="128"/>
      <c r="M137" s="196">
        <f>SUM(M138:M139)</f>
        <v>304794.973</v>
      </c>
      <c r="N137" s="197">
        <v>100</v>
      </c>
      <c r="O137" s="188"/>
      <c r="P137" s="196">
        <f>SUM(P138:P139)</f>
        <v>310000</v>
      </c>
      <c r="Q137" s="196">
        <f>SUM(Q138:Q139)</f>
        <v>310000</v>
      </c>
      <c r="R137" s="196">
        <f>SUM(R138:R139)</f>
        <v>0</v>
      </c>
      <c r="S137" s="197"/>
      <c r="T137" s="190"/>
      <c r="U137" s="222">
        <f>SUM(U138:U139)</f>
        <v>0</v>
      </c>
      <c r="V137" s="191"/>
      <c r="W137" s="192"/>
    </row>
    <row r="138" spans="1:39" s="97" customFormat="1" ht="15.6" customHeight="1" x14ac:dyDescent="0.25">
      <c r="A138" s="136"/>
      <c r="B138" s="137"/>
      <c r="C138" s="137"/>
      <c r="D138" s="137"/>
      <c r="E138" s="137"/>
      <c r="F138" s="155" t="str">
        <f>[1]Mei!$B$489</f>
        <v>Bant. Hukum, Sangketa Hkm &amp; Penanganan Pengaduan Masy.</v>
      </c>
      <c r="G138" s="177" t="s">
        <v>157</v>
      </c>
      <c r="H138" s="140">
        <v>60</v>
      </c>
      <c r="I138" s="140"/>
      <c r="J138" s="140">
        <f>1433466669/1000</f>
        <v>1433466.669</v>
      </c>
      <c r="K138" s="158">
        <v>1</v>
      </c>
      <c r="L138" s="143" t="s">
        <v>110</v>
      </c>
      <c r="M138" s="158">
        <f>241309850/1000</f>
        <v>241309.85</v>
      </c>
      <c r="N138" s="145">
        <v>1</v>
      </c>
      <c r="O138" s="146" t="s">
        <v>110</v>
      </c>
      <c r="P138" s="159">
        <f>245000000/1000</f>
        <v>245000</v>
      </c>
      <c r="Q138" s="148">
        <f>245000000/1000</f>
        <v>245000</v>
      </c>
      <c r="R138" s="149">
        <f t="shared" ref="R138:R220" si="2">P138-Q138</f>
        <v>0</v>
      </c>
      <c r="S138" s="150" t="s">
        <v>32</v>
      </c>
      <c r="T138" s="146" t="s">
        <v>110</v>
      </c>
      <c r="U138" s="150" t="s">
        <v>32</v>
      </c>
      <c r="V138" s="152" t="str">
        <f>'[2]data PPTK'!S113</f>
        <v>WALTER A. DILO,SH.,MH</v>
      </c>
      <c r="W138" s="153" t="str">
        <f>'[2]data PPTK'!T113</f>
        <v>HUKUM</v>
      </c>
    </row>
    <row r="139" spans="1:39" s="97" customFormat="1" ht="15.6" customHeight="1" x14ac:dyDescent="0.25">
      <c r="A139" s="136"/>
      <c r="B139" s="137"/>
      <c r="C139" s="137"/>
      <c r="D139" s="137"/>
      <c r="E139" s="137"/>
      <c r="F139" s="155" t="str">
        <f>[1]Mei!$B$499</f>
        <v>Dokumentasi Hukum dan Info. Hukum</v>
      </c>
      <c r="G139" s="177" t="s">
        <v>158</v>
      </c>
      <c r="H139" s="140">
        <v>5</v>
      </c>
      <c r="I139" s="140"/>
      <c r="J139" s="140">
        <f>353386621/1000</f>
        <v>353386.62099999998</v>
      </c>
      <c r="K139" s="158">
        <v>1</v>
      </c>
      <c r="L139" s="143" t="s">
        <v>110</v>
      </c>
      <c r="M139" s="158">
        <f>63485123/1000</f>
        <v>63485.123</v>
      </c>
      <c r="N139" s="145">
        <v>1</v>
      </c>
      <c r="O139" s="146" t="s">
        <v>110</v>
      </c>
      <c r="P139" s="159">
        <f>65000000/1000</f>
        <v>65000</v>
      </c>
      <c r="Q139" s="148">
        <f>65000000/1000</f>
        <v>65000</v>
      </c>
      <c r="R139" s="149">
        <f t="shared" si="2"/>
        <v>0</v>
      </c>
      <c r="S139" s="150" t="s">
        <v>32</v>
      </c>
      <c r="T139" s="146" t="s">
        <v>110</v>
      </c>
      <c r="U139" s="150" t="s">
        <v>32</v>
      </c>
      <c r="V139" s="152" t="str">
        <f>'[2]data PPTK'!S114</f>
        <v>SINGPI,SH</v>
      </c>
      <c r="W139" s="153" t="str">
        <f>'[2]data PPTK'!T114</f>
        <v>HUKUM</v>
      </c>
    </row>
    <row r="140" spans="1:39" s="173" customFormat="1" ht="13.2" customHeight="1" x14ac:dyDescent="0.2">
      <c r="A140" s="168" t="s">
        <v>52</v>
      </c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70"/>
      <c r="W140" s="171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</row>
    <row r="141" spans="1:39" s="173" customFormat="1" ht="13.2" customHeight="1" x14ac:dyDescent="0.2">
      <c r="A141" s="168" t="s">
        <v>53</v>
      </c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70">
        <v>1</v>
      </c>
      <c r="W141" s="171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  <c r="AH141" s="172"/>
      <c r="AI141" s="172"/>
      <c r="AJ141" s="172"/>
      <c r="AK141" s="172"/>
      <c r="AL141" s="172"/>
      <c r="AM141" s="172"/>
    </row>
    <row r="142" spans="1:39" s="193" customFormat="1" ht="15.6" customHeight="1" x14ac:dyDescent="0.25">
      <c r="A142" s="84"/>
      <c r="B142" s="187"/>
      <c r="C142" s="187"/>
      <c r="D142" s="187"/>
      <c r="E142" s="187"/>
      <c r="F142" s="174" t="s">
        <v>159</v>
      </c>
      <c r="G142" s="183" t="s">
        <v>160</v>
      </c>
      <c r="H142" s="126">
        <v>100</v>
      </c>
      <c r="I142" s="126"/>
      <c r="J142" s="126">
        <f>J143</f>
        <v>5320000</v>
      </c>
      <c r="K142" s="126">
        <v>100</v>
      </c>
      <c r="L142" s="128"/>
      <c r="M142" s="126">
        <f>M143</f>
        <v>913496.05</v>
      </c>
      <c r="N142" s="129">
        <v>100</v>
      </c>
      <c r="O142" s="188"/>
      <c r="P142" s="126">
        <f>P143</f>
        <v>937700</v>
      </c>
      <c r="Q142" s="126">
        <f>Q143</f>
        <v>934195</v>
      </c>
      <c r="R142" s="189">
        <f t="shared" si="2"/>
        <v>3505</v>
      </c>
      <c r="S142" s="129"/>
      <c r="T142" s="190"/>
      <c r="U142" s="176" t="str">
        <f>U143</f>
        <v>...</v>
      </c>
      <c r="V142" s="191"/>
      <c r="W142" s="192"/>
    </row>
    <row r="143" spans="1:39" s="97" customFormat="1" ht="15.6" customHeight="1" x14ac:dyDescent="0.25">
      <c r="A143" s="136"/>
      <c r="B143" s="137"/>
      <c r="C143" s="137"/>
      <c r="D143" s="137"/>
      <c r="E143" s="137"/>
      <c r="F143" s="155" t="str">
        <f>[1]Mei!$B$509</f>
        <v>Pendistribusian, Monitoring &amp; Evaluasi Program Raskin</v>
      </c>
      <c r="G143" s="177" t="s">
        <v>161</v>
      </c>
      <c r="H143" s="140">
        <v>5</v>
      </c>
      <c r="I143" s="140"/>
      <c r="J143" s="140">
        <f>5320000000/1000</f>
        <v>5320000</v>
      </c>
      <c r="K143" s="158">
        <v>4</v>
      </c>
      <c r="L143" s="143" t="s">
        <v>36</v>
      </c>
      <c r="M143" s="158">
        <f>913496050/1000</f>
        <v>913496.05</v>
      </c>
      <c r="N143" s="145">
        <v>4</v>
      </c>
      <c r="O143" s="146" t="s">
        <v>36</v>
      </c>
      <c r="P143" s="159">
        <f>937700000/1000</f>
        <v>937700</v>
      </c>
      <c r="Q143" s="148">
        <f>934195000/1000</f>
        <v>934195</v>
      </c>
      <c r="R143" s="149">
        <f t="shared" si="2"/>
        <v>3505</v>
      </c>
      <c r="S143" s="150" t="s">
        <v>32</v>
      </c>
      <c r="T143" s="146" t="s">
        <v>36</v>
      </c>
      <c r="U143" s="150" t="s">
        <v>32</v>
      </c>
      <c r="V143" s="152" t="str">
        <f>'[2]data PPTK'!S117</f>
        <v>MARTELY,S.Hut, M.Si</v>
      </c>
      <c r="W143" s="153" t="str">
        <f>'[2]data PPTK'!T117</f>
        <v>EKONOMI</v>
      </c>
    </row>
    <row r="144" spans="1:39" s="173" customFormat="1" ht="13.2" customHeight="1" x14ac:dyDescent="0.2">
      <c r="A144" s="168" t="s">
        <v>52</v>
      </c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70"/>
      <c r="W144" s="171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</row>
    <row r="145" spans="1:39" s="173" customFormat="1" ht="13.2" customHeight="1" x14ac:dyDescent="0.2">
      <c r="A145" s="168" t="s">
        <v>53</v>
      </c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70">
        <v>1</v>
      </c>
      <c r="W145" s="171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  <c r="AJ145" s="172"/>
      <c r="AK145" s="172"/>
      <c r="AL145" s="172"/>
      <c r="AM145" s="172"/>
    </row>
    <row r="146" spans="1:39" s="193" customFormat="1" ht="15.6" customHeight="1" x14ac:dyDescent="0.25">
      <c r="A146" s="84"/>
      <c r="B146" s="187"/>
      <c r="C146" s="187"/>
      <c r="D146" s="187"/>
      <c r="E146" s="187"/>
      <c r="F146" s="174" t="s">
        <v>162</v>
      </c>
      <c r="G146" s="183" t="s">
        <v>163</v>
      </c>
      <c r="H146" s="126">
        <v>100</v>
      </c>
      <c r="I146" s="126"/>
      <c r="J146" s="126">
        <f>J147</f>
        <v>453220</v>
      </c>
      <c r="K146" s="126">
        <v>100</v>
      </c>
      <c r="L146" s="128"/>
      <c r="M146" s="126">
        <f>M147</f>
        <v>75955.982000000004</v>
      </c>
      <c r="N146" s="129">
        <v>100</v>
      </c>
      <c r="O146" s="188"/>
      <c r="P146" s="126">
        <f>P147</f>
        <v>76000</v>
      </c>
      <c r="Q146" s="126">
        <f>Q147</f>
        <v>126050</v>
      </c>
      <c r="R146" s="189">
        <f t="shared" si="2"/>
        <v>-50050</v>
      </c>
      <c r="S146" s="129"/>
      <c r="T146" s="190"/>
      <c r="U146" s="176" t="str">
        <f>U147</f>
        <v>...</v>
      </c>
      <c r="V146" s="191"/>
      <c r="W146" s="192"/>
    </row>
    <row r="147" spans="1:39" s="97" customFormat="1" ht="15.6" customHeight="1" x14ac:dyDescent="0.25">
      <c r="A147" s="136"/>
      <c r="B147" s="137"/>
      <c r="C147" s="137"/>
      <c r="D147" s="137"/>
      <c r="E147" s="137"/>
      <c r="F147" s="155" t="str">
        <f>[1]Mei!$B$522</f>
        <v>Peningktan Pengetahuan Masy. dlm rngka Peningkt Perekonomian Masyarakat</v>
      </c>
      <c r="G147" s="177" t="s">
        <v>164</v>
      </c>
      <c r="H147" s="140">
        <v>60</v>
      </c>
      <c r="I147" s="140"/>
      <c r="J147" s="140">
        <f>453220000/1000</f>
        <v>453220</v>
      </c>
      <c r="K147" s="158">
        <v>1</v>
      </c>
      <c r="L147" s="143" t="s">
        <v>165</v>
      </c>
      <c r="M147" s="158">
        <f>75955982/1000</f>
        <v>75955.982000000004</v>
      </c>
      <c r="N147" s="145">
        <v>1</v>
      </c>
      <c r="O147" s="146" t="s">
        <v>98</v>
      </c>
      <c r="P147" s="159">
        <f>76000000/1000</f>
        <v>76000</v>
      </c>
      <c r="Q147" s="148">
        <f>126050000/1000</f>
        <v>126050</v>
      </c>
      <c r="R147" s="149">
        <f t="shared" si="2"/>
        <v>-50050</v>
      </c>
      <c r="S147" s="150" t="s">
        <v>32</v>
      </c>
      <c r="T147" s="146" t="s">
        <v>98</v>
      </c>
      <c r="U147" s="150" t="s">
        <v>32</v>
      </c>
      <c r="V147" s="152" t="str">
        <f>'[2]data PPTK'!S120</f>
        <v>MEDIKA HERMAWAN,S.STP</v>
      </c>
      <c r="W147" s="153" t="str">
        <f>W143</f>
        <v>EKONOMI</v>
      </c>
    </row>
    <row r="148" spans="1:39" s="173" customFormat="1" ht="13.2" customHeight="1" x14ac:dyDescent="0.2">
      <c r="A148" s="168" t="s">
        <v>52</v>
      </c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70"/>
      <c r="W148" s="171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</row>
    <row r="149" spans="1:39" s="173" customFormat="1" ht="13.2" customHeight="1" x14ac:dyDescent="0.2">
      <c r="A149" s="168" t="s">
        <v>53</v>
      </c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70">
        <v>1</v>
      </c>
      <c r="W149" s="171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</row>
    <row r="150" spans="1:39" s="193" customFormat="1" ht="15.6" customHeight="1" x14ac:dyDescent="0.25">
      <c r="A150" s="84"/>
      <c r="B150" s="187"/>
      <c r="C150" s="187"/>
      <c r="D150" s="187"/>
      <c r="E150" s="187"/>
      <c r="F150" s="174" t="s">
        <v>166</v>
      </c>
      <c r="G150" s="183" t="s">
        <v>167</v>
      </c>
      <c r="H150" s="126">
        <v>100</v>
      </c>
      <c r="I150" s="126"/>
      <c r="J150" s="126">
        <f>SUM(J151:J154)</f>
        <v>553055.34400000004</v>
      </c>
      <c r="K150" s="126">
        <v>100</v>
      </c>
      <c r="L150" s="128"/>
      <c r="M150" s="126">
        <f>SUM(M151:M154)</f>
        <v>312558.3</v>
      </c>
      <c r="N150" s="129">
        <v>100</v>
      </c>
      <c r="O150" s="188"/>
      <c r="P150" s="126">
        <f>SUM(P151:P154)</f>
        <v>329732.5</v>
      </c>
      <c r="Q150" s="126">
        <f>SUM(Q151:Q154)</f>
        <v>256732.5</v>
      </c>
      <c r="R150" s="189">
        <f t="shared" si="2"/>
        <v>73000</v>
      </c>
      <c r="S150" s="129"/>
      <c r="T150" s="190"/>
      <c r="U150" s="176">
        <f>SUM(U151:U154)</f>
        <v>0</v>
      </c>
      <c r="V150" s="191"/>
      <c r="W150" s="192"/>
    </row>
    <row r="151" spans="1:39" s="97" customFormat="1" ht="15.6" customHeight="1" x14ac:dyDescent="0.25">
      <c r="A151" s="136"/>
      <c r="B151" s="137"/>
      <c r="C151" s="137"/>
      <c r="D151" s="137"/>
      <c r="E151" s="137"/>
      <c r="F151" s="155" t="s">
        <v>168</v>
      </c>
      <c r="G151" s="177" t="s">
        <v>169</v>
      </c>
      <c r="H151" s="140">
        <v>5</v>
      </c>
      <c r="I151" s="140"/>
      <c r="J151" s="140">
        <f>97240500/1000</f>
        <v>97240.5</v>
      </c>
      <c r="K151" s="158">
        <v>1</v>
      </c>
      <c r="L151" s="143" t="s">
        <v>165</v>
      </c>
      <c r="M151" s="158">
        <f>79773600/1000</f>
        <v>79773.600000000006</v>
      </c>
      <c r="N151" s="145">
        <v>1</v>
      </c>
      <c r="O151" s="146" t="s">
        <v>98</v>
      </c>
      <c r="P151" s="159">
        <f>80000000/1000</f>
        <v>80000</v>
      </c>
      <c r="Q151" s="148">
        <f>92000000/1000</f>
        <v>92000</v>
      </c>
      <c r="R151" s="149">
        <f t="shared" si="2"/>
        <v>-12000</v>
      </c>
      <c r="S151" s="150" t="s">
        <v>32</v>
      </c>
      <c r="T151" s="146" t="s">
        <v>98</v>
      </c>
      <c r="U151" s="150" t="s">
        <v>32</v>
      </c>
      <c r="V151" s="152" t="str">
        <f>'[2]data PPTK'!S123</f>
        <v>ELLY YOSEPH,SH</v>
      </c>
      <c r="W151" s="153" t="str">
        <f>'[2]data PPTK'!T123</f>
        <v>HUKUM</v>
      </c>
    </row>
    <row r="152" spans="1:39" s="97" customFormat="1" ht="15.6" customHeight="1" x14ac:dyDescent="0.25">
      <c r="A152" s="136"/>
      <c r="B152" s="137"/>
      <c r="C152" s="137"/>
      <c r="D152" s="137"/>
      <c r="E152" s="137"/>
      <c r="F152" s="155" t="str">
        <f>[1]Mei!$B$547</f>
        <v xml:space="preserve">RANHAM </v>
      </c>
      <c r="G152" s="177" t="s">
        <v>170</v>
      </c>
      <c r="H152" s="140">
        <v>500</v>
      </c>
      <c r="I152" s="140"/>
      <c r="J152" s="140">
        <f>91162969/1000</f>
        <v>91162.968999999997</v>
      </c>
      <c r="K152" s="158">
        <v>1</v>
      </c>
      <c r="L152" s="143" t="s">
        <v>165</v>
      </c>
      <c r="M152" s="158">
        <f>64715850/1000</f>
        <v>64715.85</v>
      </c>
      <c r="N152" s="145">
        <v>1</v>
      </c>
      <c r="O152" s="146" t="s">
        <v>98</v>
      </c>
      <c r="P152" s="159">
        <f>64732500/1000</f>
        <v>64732.5</v>
      </c>
      <c r="Q152" s="148">
        <f>64732500/1000</f>
        <v>64732.5</v>
      </c>
      <c r="R152" s="149">
        <f t="shared" si="2"/>
        <v>0</v>
      </c>
      <c r="S152" s="150" t="s">
        <v>32</v>
      </c>
      <c r="T152" s="146" t="s">
        <v>40</v>
      </c>
      <c r="U152" s="150" t="s">
        <v>32</v>
      </c>
      <c r="V152" s="152" t="str">
        <f>'[2]data PPTK'!S124</f>
        <v>WALTER A. DILO,SH.,MH</v>
      </c>
      <c r="W152" s="153" t="str">
        <f>'[2]data PPTK'!T124</f>
        <v>HUKUM</v>
      </c>
    </row>
    <row r="153" spans="1:39" s="216" customFormat="1" ht="15.6" customHeight="1" x14ac:dyDescent="0.25">
      <c r="A153" s="203"/>
      <c r="B153" s="204"/>
      <c r="C153" s="204"/>
      <c r="D153" s="204"/>
      <c r="E153" s="204"/>
      <c r="F153" s="205" t="str">
        <f>[1]Mei!$B$561</f>
        <v>Rencana Aksi Pencegahan &amp; Pemberantasan Korupsi</v>
      </c>
      <c r="G153" s="206" t="s">
        <v>171</v>
      </c>
      <c r="H153" s="207">
        <v>5</v>
      </c>
      <c r="I153" s="207"/>
      <c r="J153" s="207">
        <f>243101250/1000</f>
        <v>243101.25</v>
      </c>
      <c r="K153" s="207">
        <v>1</v>
      </c>
      <c r="L153" s="223" t="s">
        <v>172</v>
      </c>
      <c r="M153" s="207">
        <f>89444400/1000</f>
        <v>89444.4</v>
      </c>
      <c r="N153" s="209">
        <v>1</v>
      </c>
      <c r="O153" s="208" t="s">
        <v>92</v>
      </c>
      <c r="P153" s="207">
        <f>100000000/1000</f>
        <v>100000</v>
      </c>
      <c r="Q153" s="211"/>
      <c r="R153" s="212">
        <f t="shared" si="2"/>
        <v>100000</v>
      </c>
      <c r="S153" s="209"/>
      <c r="T153" s="208" t="s">
        <v>92</v>
      </c>
      <c r="U153" s="213"/>
      <c r="V153" s="214"/>
      <c r="W153" s="215"/>
    </row>
    <row r="154" spans="1:39" s="97" customFormat="1" ht="15.6" customHeight="1" x14ac:dyDescent="0.25">
      <c r="A154" s="136"/>
      <c r="B154" s="137"/>
      <c r="C154" s="137"/>
      <c r="D154" s="137"/>
      <c r="E154" s="137"/>
      <c r="F154" s="155" t="str">
        <f>[1]Mei!$B$570</f>
        <v>Pembentukan dan Pembinaan Desa / Kel. Sadar Hukum</v>
      </c>
      <c r="G154" s="177" t="s">
        <v>173</v>
      </c>
      <c r="H154" s="140">
        <v>15</v>
      </c>
      <c r="I154" s="140"/>
      <c r="J154" s="140">
        <f>121550625/1000</f>
        <v>121550.625</v>
      </c>
      <c r="K154" s="158">
        <v>3</v>
      </c>
      <c r="L154" s="143" t="s">
        <v>174</v>
      </c>
      <c r="M154" s="158">
        <f>78624450/1000</f>
        <v>78624.45</v>
      </c>
      <c r="N154" s="145">
        <v>3</v>
      </c>
      <c r="O154" s="146" t="s">
        <v>142</v>
      </c>
      <c r="P154" s="159">
        <f>85000000/1000</f>
        <v>85000</v>
      </c>
      <c r="Q154" s="148">
        <f>100000000/1000</f>
        <v>100000</v>
      </c>
      <c r="R154" s="149">
        <f t="shared" si="2"/>
        <v>-15000</v>
      </c>
      <c r="S154" s="150" t="s">
        <v>32</v>
      </c>
      <c r="T154" s="146" t="s">
        <v>142</v>
      </c>
      <c r="U154" s="150" t="s">
        <v>32</v>
      </c>
      <c r="V154" s="152" t="str">
        <f>'[2]data PPTK'!S125</f>
        <v>SINGPI,SH</v>
      </c>
      <c r="W154" s="153" t="str">
        <f>'[2]data PPTK'!T125</f>
        <v>HUKUM</v>
      </c>
    </row>
    <row r="155" spans="1:39" s="173" customFormat="1" ht="13.2" customHeight="1" x14ac:dyDescent="0.2">
      <c r="A155" s="168" t="s">
        <v>52</v>
      </c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70"/>
      <c r="W155" s="171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</row>
    <row r="156" spans="1:39" s="173" customFormat="1" ht="13.2" customHeight="1" x14ac:dyDescent="0.2">
      <c r="A156" s="168" t="s">
        <v>53</v>
      </c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70">
        <v>1</v>
      </c>
      <c r="W156" s="171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</row>
    <row r="157" spans="1:39" s="193" customFormat="1" ht="15.6" customHeight="1" x14ac:dyDescent="0.25">
      <c r="A157" s="84"/>
      <c r="B157" s="187"/>
      <c r="C157" s="187"/>
      <c r="D157" s="187"/>
      <c r="E157" s="187"/>
      <c r="F157" s="174" t="s">
        <v>175</v>
      </c>
      <c r="G157" s="183" t="s">
        <v>176</v>
      </c>
      <c r="H157" s="126">
        <v>100</v>
      </c>
      <c r="I157" s="126"/>
      <c r="J157" s="126">
        <f>SUM(J158:J166)</f>
        <v>4952903.915</v>
      </c>
      <c r="K157" s="126">
        <v>100</v>
      </c>
      <c r="L157" s="128"/>
      <c r="M157" s="126">
        <f>SUM(M158:M166)</f>
        <v>663619.13</v>
      </c>
      <c r="N157" s="129">
        <v>100</v>
      </c>
      <c r="O157" s="188"/>
      <c r="P157" s="126">
        <f>SUM(P158:P166)</f>
        <v>426080.5</v>
      </c>
      <c r="Q157" s="126">
        <f>SUM(Q158:Q166)</f>
        <v>1372336</v>
      </c>
      <c r="R157" s="189">
        <f t="shared" si="2"/>
        <v>-946255.5</v>
      </c>
      <c r="S157" s="129"/>
      <c r="T157" s="190"/>
      <c r="U157" s="176">
        <f>SUM(U158:U166)</f>
        <v>0</v>
      </c>
      <c r="V157" s="191"/>
      <c r="W157" s="192"/>
    </row>
    <row r="158" spans="1:39" s="97" customFormat="1" ht="15.6" customHeight="1" x14ac:dyDescent="0.25">
      <c r="A158" s="136"/>
      <c r="B158" s="137"/>
      <c r="C158" s="137"/>
      <c r="D158" s="137"/>
      <c r="E158" s="137"/>
      <c r="F158" s="155" t="str">
        <f>[1]Mei!$B$583</f>
        <v>Penyusunan LAKIP Setda</v>
      </c>
      <c r="G158" s="177" t="s">
        <v>177</v>
      </c>
      <c r="H158" s="140">
        <v>5</v>
      </c>
      <c r="I158" s="140"/>
      <c r="J158" s="140">
        <f>58405164/1000</f>
        <v>58405.163999999997</v>
      </c>
      <c r="K158" s="158">
        <v>1</v>
      </c>
      <c r="L158" s="143" t="s">
        <v>90</v>
      </c>
      <c r="M158" s="158">
        <f>9945000/1000</f>
        <v>9945</v>
      </c>
      <c r="N158" s="145">
        <v>1</v>
      </c>
      <c r="O158" s="146" t="s">
        <v>90</v>
      </c>
      <c r="P158" s="159">
        <f>15000000/1000</f>
        <v>15000</v>
      </c>
      <c r="Q158" s="148">
        <f>41475000/1000</f>
        <v>41475</v>
      </c>
      <c r="R158" s="149">
        <f t="shared" si="2"/>
        <v>-26475</v>
      </c>
      <c r="S158" s="150" t="s">
        <v>32</v>
      </c>
      <c r="T158" s="146" t="s">
        <v>90</v>
      </c>
      <c r="U158" s="150" t="s">
        <v>32</v>
      </c>
      <c r="V158" s="152" t="str">
        <f>'[2]data PPTK'!S128</f>
        <v>WELSON,S.Pt</v>
      </c>
      <c r="W158" s="153" t="str">
        <f>'[2]data PPTK'!T128</f>
        <v>PEMBANGUNAN</v>
      </c>
    </row>
    <row r="159" spans="1:39" s="97" customFormat="1" ht="15.6" customHeight="1" x14ac:dyDescent="0.25">
      <c r="A159" s="136"/>
      <c r="B159" s="137"/>
      <c r="C159" s="137"/>
      <c r="D159" s="137"/>
      <c r="E159" s="137"/>
      <c r="F159" s="155" t="str">
        <f>[1]Mei!$B$589</f>
        <v>Pemantauan &amp; Pelaporan LHKPN</v>
      </c>
      <c r="G159" s="177" t="s">
        <v>178</v>
      </c>
      <c r="H159" s="140">
        <v>5</v>
      </c>
      <c r="I159" s="140"/>
      <c r="J159" s="140">
        <f>259281563/1000</f>
        <v>259281.56299999999</v>
      </c>
      <c r="K159" s="158">
        <v>1</v>
      </c>
      <c r="L159" s="143" t="s">
        <v>92</v>
      </c>
      <c r="M159" s="158">
        <f>76503900/1000</f>
        <v>76503.899999999994</v>
      </c>
      <c r="N159" s="145">
        <v>1</v>
      </c>
      <c r="O159" s="146" t="s">
        <v>92</v>
      </c>
      <c r="P159" s="159">
        <f>95000000/1000</f>
        <v>95000</v>
      </c>
      <c r="Q159" s="148">
        <f>100000000/1000</f>
        <v>100000</v>
      </c>
      <c r="R159" s="149">
        <f t="shared" si="2"/>
        <v>-5000</v>
      </c>
      <c r="S159" s="150" t="s">
        <v>32</v>
      </c>
      <c r="T159" s="146" t="s">
        <v>92</v>
      </c>
      <c r="U159" s="150" t="s">
        <v>32</v>
      </c>
      <c r="V159" s="152" t="str">
        <f>'[2]data PPTK'!S129</f>
        <v>SABANG PARULIAN,SP</v>
      </c>
      <c r="W159" s="153" t="str">
        <f>'[2]data PPTK'!T129</f>
        <v>ORGANISASI</v>
      </c>
    </row>
    <row r="160" spans="1:39" s="97" customFormat="1" ht="15.6" customHeight="1" x14ac:dyDescent="0.25">
      <c r="A160" s="136"/>
      <c r="B160" s="137"/>
      <c r="C160" s="137"/>
      <c r="D160" s="137"/>
      <c r="E160" s="137"/>
      <c r="F160" s="155" t="str">
        <f>[1]Mei!$B$598</f>
        <v>Penataan Kelembagaan Perangkat Daerah</v>
      </c>
      <c r="G160" s="177" t="s">
        <v>179</v>
      </c>
      <c r="H160" s="140">
        <v>5</v>
      </c>
      <c r="I160" s="140"/>
      <c r="J160" s="140">
        <f>551563125/1000</f>
        <v>551563.125</v>
      </c>
      <c r="K160" s="158">
        <v>1</v>
      </c>
      <c r="L160" s="143" t="s">
        <v>90</v>
      </c>
      <c r="M160" s="158">
        <f>76456300/1000</f>
        <v>76456.3</v>
      </c>
      <c r="N160" s="145">
        <v>1</v>
      </c>
      <c r="O160" s="146" t="s">
        <v>90</v>
      </c>
      <c r="P160" s="159">
        <f>61686000/1000</f>
        <v>61686</v>
      </c>
      <c r="Q160" s="148">
        <f>150000000/1000</f>
        <v>150000</v>
      </c>
      <c r="R160" s="149">
        <f t="shared" si="2"/>
        <v>-88314</v>
      </c>
      <c r="S160" s="150" t="s">
        <v>32</v>
      </c>
      <c r="T160" s="146" t="s">
        <v>90</v>
      </c>
      <c r="U160" s="150" t="s">
        <v>32</v>
      </c>
      <c r="V160" s="152" t="str">
        <f>'[2]data PPTK'!S130</f>
        <v>ARITUA B.N,S.STP, M.Si</v>
      </c>
      <c r="W160" s="153" t="str">
        <f>'[2]data PPTK'!T130</f>
        <v>ORGANISASI</v>
      </c>
    </row>
    <row r="161" spans="1:39" s="161" customFormat="1" ht="15.6" customHeight="1" x14ac:dyDescent="0.25">
      <c r="A161" s="136"/>
      <c r="B161" s="137"/>
      <c r="C161" s="137"/>
      <c r="D161" s="137"/>
      <c r="E161" s="137"/>
      <c r="F161" s="179" t="s">
        <v>180</v>
      </c>
      <c r="G161" s="180"/>
      <c r="H161" s="159"/>
      <c r="I161" s="159"/>
      <c r="J161" s="159"/>
      <c r="K161" s="159"/>
      <c r="L161" s="143"/>
      <c r="M161" s="159"/>
      <c r="N161" s="145"/>
      <c r="O161" s="146"/>
      <c r="P161" s="159"/>
      <c r="Q161" s="148">
        <f>200000000/1000</f>
        <v>200000</v>
      </c>
      <c r="R161" s="149">
        <f t="shared" si="2"/>
        <v>-200000</v>
      </c>
      <c r="S161" s="150" t="s">
        <v>32</v>
      </c>
      <c r="T161" s="146" t="s">
        <v>90</v>
      </c>
      <c r="U161" s="150" t="s">
        <v>32</v>
      </c>
      <c r="V161" s="152" t="str">
        <f>'[2]data PPTK'!S132</f>
        <v>SABANG PARULIAN,SP</v>
      </c>
      <c r="W161" s="153" t="str">
        <f>'[2]data PPTK'!T131</f>
        <v>ORGANISASI</v>
      </c>
    </row>
    <row r="162" spans="1:39" s="97" customFormat="1" ht="15.6" customHeight="1" x14ac:dyDescent="0.25">
      <c r="A162" s="136"/>
      <c r="B162" s="137"/>
      <c r="C162" s="137"/>
      <c r="D162" s="137"/>
      <c r="E162" s="137"/>
      <c r="F162" s="155" t="str">
        <f>[1]Mei!$B$607</f>
        <v>Pembuatan Profil Kelembagaan dan Good Government</v>
      </c>
      <c r="G162" s="177" t="s">
        <v>181</v>
      </c>
      <c r="H162" s="140">
        <v>5</v>
      </c>
      <c r="I162" s="140"/>
      <c r="J162" s="140">
        <f>308281563/1000</f>
        <v>308281.56300000002</v>
      </c>
      <c r="K162" s="158">
        <v>1</v>
      </c>
      <c r="L162" s="143" t="s">
        <v>90</v>
      </c>
      <c r="M162" s="158">
        <f>38921500/1000</f>
        <v>38921.5</v>
      </c>
      <c r="N162" s="145">
        <v>1</v>
      </c>
      <c r="O162" s="146" t="s">
        <v>90</v>
      </c>
      <c r="P162" s="159">
        <f>41275000/1000</f>
        <v>41275</v>
      </c>
      <c r="Q162" s="148">
        <f>70000000/1000</f>
        <v>70000</v>
      </c>
      <c r="R162" s="149">
        <f t="shared" si="2"/>
        <v>-28725</v>
      </c>
      <c r="S162" s="150" t="s">
        <v>32</v>
      </c>
      <c r="T162" s="146" t="s">
        <v>90</v>
      </c>
      <c r="U162" s="150" t="s">
        <v>32</v>
      </c>
      <c r="V162" s="152" t="str">
        <f>'[2]data PPTK'!S131</f>
        <v>ARITUA B.N,S.STP, M.Si</v>
      </c>
      <c r="W162" s="153" t="str">
        <f>'[2]data PPTK'!T132</f>
        <v>ORGANISASI</v>
      </c>
    </row>
    <row r="163" spans="1:39" s="97" customFormat="1" ht="15.6" customHeight="1" x14ac:dyDescent="0.25">
      <c r="A163" s="136"/>
      <c r="B163" s="137"/>
      <c r="C163" s="137"/>
      <c r="D163" s="137"/>
      <c r="E163" s="137"/>
      <c r="F163" s="155" t="str">
        <f>[1]Mei!$B$614</f>
        <v>Penyusunan SOP</v>
      </c>
      <c r="G163" s="177" t="s">
        <v>182</v>
      </c>
      <c r="H163" s="140">
        <v>4</v>
      </c>
      <c r="I163" s="140"/>
      <c r="J163" s="140">
        <f>738172500/1000</f>
        <v>738172.5</v>
      </c>
      <c r="K163" s="158">
        <v>1</v>
      </c>
      <c r="L163" s="143" t="s">
        <v>90</v>
      </c>
      <c r="M163" s="158">
        <f>35292000/1000</f>
        <v>35292</v>
      </c>
      <c r="N163" s="145">
        <v>1</v>
      </c>
      <c r="O163" s="146" t="s">
        <v>90</v>
      </c>
      <c r="P163" s="159">
        <f>35600000/1000</f>
        <v>35600</v>
      </c>
      <c r="Q163" s="148">
        <f>150000000/1000</f>
        <v>150000</v>
      </c>
      <c r="R163" s="149">
        <f t="shared" si="2"/>
        <v>-114400</v>
      </c>
      <c r="S163" s="150" t="s">
        <v>32</v>
      </c>
      <c r="T163" s="146" t="s">
        <v>90</v>
      </c>
      <c r="U163" s="150" t="s">
        <v>32</v>
      </c>
      <c r="V163" s="152" t="str">
        <f>'[2]data PPTK'!S133</f>
        <v>ARITUA B.N,S.STP, M.Si</v>
      </c>
      <c r="W163" s="153" t="str">
        <f>'[2]data PPTK'!T133</f>
        <v>ORGANISASI</v>
      </c>
    </row>
    <row r="164" spans="1:39" s="97" customFormat="1" ht="15.6" customHeight="1" x14ac:dyDescent="0.25">
      <c r="A164" s="136"/>
      <c r="B164" s="137"/>
      <c r="C164" s="137"/>
      <c r="D164" s="137"/>
      <c r="E164" s="137"/>
      <c r="F164" s="224" t="str">
        <f>[1]Mei!$B$621</f>
        <v>Penyusunan Analisis Jabatan &amp; Analisis Beban Kerja</v>
      </c>
      <c r="G164" s="177" t="s">
        <v>183</v>
      </c>
      <c r="H164" s="140">
        <v>10</v>
      </c>
      <c r="I164" s="140"/>
      <c r="J164" s="140">
        <f>2537200000/1000</f>
        <v>2537200</v>
      </c>
      <c r="K164" s="158">
        <v>2</v>
      </c>
      <c r="L164" s="143" t="s">
        <v>90</v>
      </c>
      <c r="M164" s="158">
        <f>258175180/1000</f>
        <v>258175.18</v>
      </c>
      <c r="N164" s="145"/>
      <c r="O164" s="146"/>
      <c r="P164" s="159"/>
      <c r="Q164" s="148">
        <f>280861000/1000</f>
        <v>280861</v>
      </c>
      <c r="R164" s="149">
        <f t="shared" si="2"/>
        <v>-280861</v>
      </c>
      <c r="S164" s="150" t="s">
        <v>32</v>
      </c>
      <c r="T164" s="146" t="s">
        <v>90</v>
      </c>
      <c r="U164" s="150" t="s">
        <v>32</v>
      </c>
      <c r="V164" s="152" t="str">
        <f>'[2]data PPTK'!S134</f>
        <v>SABANG PARULIAN,SP</v>
      </c>
      <c r="W164" s="153" t="str">
        <f>'[2]data PPTK'!T134</f>
        <v>ORGANISASI</v>
      </c>
    </row>
    <row r="165" spans="1:39" s="97" customFormat="1" ht="15.6" customHeight="1" x14ac:dyDescent="0.25">
      <c r="A165" s="136"/>
      <c r="B165" s="137"/>
      <c r="C165" s="137"/>
      <c r="D165" s="137"/>
      <c r="E165" s="137"/>
      <c r="F165" s="155" t="str">
        <f>[1]Mei!$B$632</f>
        <v>Penyusunan LAKIP Kabupaten / Sosialisasi &amp; Pendampingan BPKP</v>
      </c>
      <c r="G165" s="177" t="s">
        <v>177</v>
      </c>
      <c r="H165" s="140">
        <v>4</v>
      </c>
      <c r="I165" s="140"/>
      <c r="J165" s="140">
        <f>500000000/1000</f>
        <v>500000</v>
      </c>
      <c r="K165" s="158">
        <v>1</v>
      </c>
      <c r="L165" s="143" t="s">
        <v>98</v>
      </c>
      <c r="M165" s="158">
        <f>156009000/1000</f>
        <v>156009</v>
      </c>
      <c r="N165" s="145">
        <v>1</v>
      </c>
      <c r="O165" s="146" t="s">
        <v>90</v>
      </c>
      <c r="P165" s="159">
        <f>157519500/1000</f>
        <v>157519.5</v>
      </c>
      <c r="Q165" s="148">
        <f>350000000/1000</f>
        <v>350000</v>
      </c>
      <c r="R165" s="149">
        <f t="shared" si="2"/>
        <v>-192480.5</v>
      </c>
      <c r="S165" s="150" t="s">
        <v>32</v>
      </c>
      <c r="T165" s="146" t="s">
        <v>90</v>
      </c>
      <c r="U165" s="150" t="s">
        <v>32</v>
      </c>
      <c r="V165" s="152" t="str">
        <f>'[2]data PPTK'!S135</f>
        <v>SABANG PARULIAN,SP</v>
      </c>
      <c r="W165" s="153" t="str">
        <f>'[2]data PPTK'!T135</f>
        <v>ORGANISASI</v>
      </c>
    </row>
    <row r="166" spans="1:39" s="97" customFormat="1" ht="15.6" customHeight="1" x14ac:dyDescent="0.25">
      <c r="A166" s="136"/>
      <c r="B166" s="137"/>
      <c r="C166" s="137"/>
      <c r="D166" s="137"/>
      <c r="E166" s="137"/>
      <c r="F166" s="155" t="str">
        <f>[1]Mei!$B$649</f>
        <v>Seleksi Direksi Perusda Bajurung Raya</v>
      </c>
      <c r="G166" s="199"/>
      <c r="H166" s="140">
        <v>0</v>
      </c>
      <c r="I166" s="140"/>
      <c r="J166" s="140">
        <v>0</v>
      </c>
      <c r="K166" s="158">
        <v>0</v>
      </c>
      <c r="L166" s="143"/>
      <c r="M166" s="158">
        <f>12316250/1000</f>
        <v>12316.25</v>
      </c>
      <c r="N166" s="145">
        <v>1</v>
      </c>
      <c r="O166" s="146" t="s">
        <v>98</v>
      </c>
      <c r="P166" s="159">
        <f>20000000/1000</f>
        <v>20000</v>
      </c>
      <c r="Q166" s="148">
        <f>30000000/1000</f>
        <v>30000</v>
      </c>
      <c r="R166" s="149">
        <f t="shared" si="2"/>
        <v>-10000</v>
      </c>
      <c r="S166" s="150" t="s">
        <v>32</v>
      </c>
      <c r="T166" s="146" t="s">
        <v>98</v>
      </c>
      <c r="U166" s="150" t="s">
        <v>32</v>
      </c>
      <c r="V166" s="152" t="str">
        <f>'[2]data PPTK'!S136</f>
        <v>PERA KRITHUNI Y, SP. M.Si</v>
      </c>
      <c r="W166" s="153" t="str">
        <f>'[2]data PPTK'!T136</f>
        <v>EKONOMI</v>
      </c>
    </row>
    <row r="167" spans="1:39" s="173" customFormat="1" ht="13.2" customHeight="1" x14ac:dyDescent="0.2">
      <c r="A167" s="168" t="s">
        <v>52</v>
      </c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70"/>
      <c r="W167" s="171"/>
      <c r="X167" s="172"/>
      <c r="Y167" s="172"/>
      <c r="Z167" s="172"/>
      <c r="AA167" s="172"/>
      <c r="AB167" s="172"/>
      <c r="AC167" s="172"/>
      <c r="AD167" s="172"/>
      <c r="AE167" s="172"/>
      <c r="AF167" s="172"/>
      <c r="AG167" s="172"/>
      <c r="AH167" s="172"/>
      <c r="AI167" s="172"/>
      <c r="AJ167" s="172"/>
      <c r="AK167" s="172"/>
      <c r="AL167" s="172"/>
      <c r="AM167" s="172"/>
    </row>
    <row r="168" spans="1:39" s="173" customFormat="1" ht="13.2" customHeight="1" x14ac:dyDescent="0.2">
      <c r="A168" s="168" t="s">
        <v>53</v>
      </c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70">
        <v>1</v>
      </c>
      <c r="W168" s="171"/>
      <c r="X168" s="172"/>
      <c r="Y168" s="172"/>
      <c r="Z168" s="172"/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</row>
    <row r="169" spans="1:39" s="193" customFormat="1" ht="15.6" customHeight="1" x14ac:dyDescent="0.25">
      <c r="A169" s="84"/>
      <c r="B169" s="187"/>
      <c r="C169" s="187"/>
      <c r="D169" s="187"/>
      <c r="E169" s="187"/>
      <c r="F169" s="174" t="s">
        <v>184</v>
      </c>
      <c r="G169" s="183" t="s">
        <v>185</v>
      </c>
      <c r="H169" s="126">
        <v>100</v>
      </c>
      <c r="I169" s="126"/>
      <c r="J169" s="126">
        <f>SUM(J170:J175)</f>
        <v>2373359.2999999998</v>
      </c>
      <c r="K169" s="126">
        <v>100</v>
      </c>
      <c r="L169" s="128"/>
      <c r="M169" s="126">
        <f>SUM(M170:M176)</f>
        <v>427821.065</v>
      </c>
      <c r="N169" s="129">
        <v>100</v>
      </c>
      <c r="O169" s="188"/>
      <c r="P169" s="126">
        <f>SUM(P170:P175)</f>
        <v>580000</v>
      </c>
      <c r="Q169" s="126">
        <f>SUM(Q170:Q176)</f>
        <v>519141.36</v>
      </c>
      <c r="R169" s="189">
        <f t="shared" si="2"/>
        <v>60858.640000000014</v>
      </c>
      <c r="S169" s="129"/>
      <c r="T169" s="190"/>
      <c r="U169" s="176">
        <f>SUM(U170:U176)</f>
        <v>0</v>
      </c>
      <c r="V169" s="191"/>
      <c r="W169" s="192"/>
    </row>
    <row r="170" spans="1:39" s="97" customFormat="1" ht="15.6" customHeight="1" x14ac:dyDescent="0.25">
      <c r="A170" s="136"/>
      <c r="B170" s="137"/>
      <c r="C170" s="137"/>
      <c r="D170" s="137"/>
      <c r="E170" s="137"/>
      <c r="F170" s="155" t="str">
        <f>[1]Mei!$B$661</f>
        <v>Penyiapan Data Info serta Laporan Pembangunan di Lingkungan Setda</v>
      </c>
      <c r="G170" s="177" t="s">
        <v>186</v>
      </c>
      <c r="H170" s="140">
        <v>5</v>
      </c>
      <c r="I170" s="140"/>
      <c r="J170" s="140">
        <f>508882381/1000</f>
        <v>508882.38099999999</v>
      </c>
      <c r="K170" s="158">
        <v>2</v>
      </c>
      <c r="L170" s="143" t="s">
        <v>90</v>
      </c>
      <c r="M170" s="158">
        <f>67377362/1000</f>
        <v>67377.361999999994</v>
      </c>
      <c r="N170" s="145">
        <v>2</v>
      </c>
      <c r="O170" s="146" t="s">
        <v>90</v>
      </c>
      <c r="P170" s="159">
        <f>100000000/1000</f>
        <v>100000</v>
      </c>
      <c r="Q170" s="148">
        <f>57968750/1000</f>
        <v>57968.75</v>
      </c>
      <c r="R170" s="149">
        <f t="shared" si="2"/>
        <v>42031.25</v>
      </c>
      <c r="S170" s="150" t="s">
        <v>32</v>
      </c>
      <c r="T170" s="146" t="s">
        <v>90</v>
      </c>
      <c r="U170" s="150" t="s">
        <v>32</v>
      </c>
      <c r="V170" s="152" t="str">
        <f>'[2]data PPTK'!S139</f>
        <v>ISTER TRI WAHYUNI,SE</v>
      </c>
      <c r="W170" s="153" t="str">
        <f>'[2]data PPTK'!T139</f>
        <v>PEMBANGUNAN</v>
      </c>
    </row>
    <row r="171" spans="1:39" s="97" customFormat="1" ht="15.6" customHeight="1" x14ac:dyDescent="0.25">
      <c r="A171" s="136"/>
      <c r="B171" s="137"/>
      <c r="C171" s="137"/>
      <c r="D171" s="137"/>
      <c r="E171" s="137"/>
      <c r="F171" s="155" t="str">
        <f>[1]Mei!$B$668</f>
        <v>Penetapan Kinerja serta Prog dan Kegiatan Setda</v>
      </c>
      <c r="G171" s="177" t="s">
        <v>187</v>
      </c>
      <c r="H171" s="140">
        <v>5</v>
      </c>
      <c r="I171" s="140"/>
      <c r="J171" s="140">
        <f>292600000/1000</f>
        <v>292600</v>
      </c>
      <c r="K171" s="158">
        <v>2</v>
      </c>
      <c r="L171" s="143" t="s">
        <v>90</v>
      </c>
      <c r="M171" s="158">
        <f>22746800/1000</f>
        <v>22746.799999999999</v>
      </c>
      <c r="N171" s="145">
        <v>2</v>
      </c>
      <c r="O171" s="146" t="s">
        <v>90</v>
      </c>
      <c r="P171" s="159">
        <f>70000000/1000</f>
        <v>70000</v>
      </c>
      <c r="Q171" s="148">
        <f>64981250/1000</f>
        <v>64981.25</v>
      </c>
      <c r="R171" s="149">
        <f t="shared" si="2"/>
        <v>5018.75</v>
      </c>
      <c r="S171" s="150" t="s">
        <v>32</v>
      </c>
      <c r="T171" s="146" t="s">
        <v>90</v>
      </c>
      <c r="U171" s="150" t="s">
        <v>32</v>
      </c>
      <c r="V171" s="152" t="str">
        <f>'[2]data PPTK'!S140</f>
        <v>WELSON,S.Pt</v>
      </c>
      <c r="W171" s="153" t="str">
        <f>'[2]data PPTK'!T140</f>
        <v>PEMBANGUNAN</v>
      </c>
    </row>
    <row r="172" spans="1:39" s="97" customFormat="1" ht="15.6" customHeight="1" x14ac:dyDescent="0.25">
      <c r="A172" s="136"/>
      <c r="B172" s="137"/>
      <c r="C172" s="137"/>
      <c r="D172" s="137"/>
      <c r="E172" s="137"/>
      <c r="F172" s="155" t="str">
        <f>[1]Mei!$B$675</f>
        <v>Inventarisasi &amp; Identifikasi Hasil Pembangunan</v>
      </c>
      <c r="G172" s="177" t="s">
        <v>188</v>
      </c>
      <c r="H172" s="140">
        <v>5</v>
      </c>
      <c r="I172" s="140"/>
      <c r="J172" s="140">
        <f>508882381/1000</f>
        <v>508882.38099999999</v>
      </c>
      <c r="K172" s="158">
        <v>1</v>
      </c>
      <c r="L172" s="143" t="s">
        <v>92</v>
      </c>
      <c r="M172" s="158">
        <f>93399603/1000</f>
        <v>93399.603000000003</v>
      </c>
      <c r="N172" s="145">
        <v>1</v>
      </c>
      <c r="O172" s="146" t="s">
        <v>92</v>
      </c>
      <c r="P172" s="159">
        <f>100000000/1000</f>
        <v>100000</v>
      </c>
      <c r="Q172" s="148">
        <f>113326250/1000</f>
        <v>113326.25</v>
      </c>
      <c r="R172" s="149">
        <f t="shared" si="2"/>
        <v>-13326.25</v>
      </c>
      <c r="S172" s="150" t="s">
        <v>32</v>
      </c>
      <c r="T172" s="146" t="s">
        <v>92</v>
      </c>
      <c r="U172" s="150" t="s">
        <v>32</v>
      </c>
      <c r="V172" s="152" t="str">
        <f>'[2]data PPTK'!S141</f>
        <v>FRANKLIN,SE</v>
      </c>
      <c r="W172" s="153" t="str">
        <f>'[2]data PPTK'!T141</f>
        <v>PEMBANGUNAN</v>
      </c>
    </row>
    <row r="173" spans="1:39" s="97" customFormat="1" ht="15.6" customHeight="1" x14ac:dyDescent="0.25">
      <c r="A173" s="136"/>
      <c r="B173" s="137"/>
      <c r="C173" s="137"/>
      <c r="D173" s="137"/>
      <c r="E173" s="137"/>
      <c r="F173" s="155" t="str">
        <f>[1]Mei!$B$682</f>
        <v>Pembinaan Desa Binaan &amp; PM2L</v>
      </c>
      <c r="G173" s="177" t="s">
        <v>189</v>
      </c>
      <c r="H173" s="140">
        <v>5</v>
      </c>
      <c r="I173" s="140"/>
      <c r="J173" s="140">
        <f>257492501/1000</f>
        <v>257492.50099999999</v>
      </c>
      <c r="K173" s="158">
        <v>1</v>
      </c>
      <c r="L173" s="143" t="s">
        <v>110</v>
      </c>
      <c r="M173" s="158">
        <f>20760000/1000</f>
        <v>20760</v>
      </c>
      <c r="N173" s="145">
        <v>1</v>
      </c>
      <c r="O173" s="146" t="s">
        <v>110</v>
      </c>
      <c r="P173" s="159">
        <f>50000000/1000</f>
        <v>50000</v>
      </c>
      <c r="Q173" s="148">
        <f>75158750/1000</f>
        <v>75158.75</v>
      </c>
      <c r="R173" s="149">
        <f t="shared" si="2"/>
        <v>-25158.75</v>
      </c>
      <c r="S173" s="150" t="s">
        <v>32</v>
      </c>
      <c r="T173" s="146" t="s">
        <v>110</v>
      </c>
      <c r="U173" s="150" t="s">
        <v>32</v>
      </c>
      <c r="V173" s="152" t="str">
        <f>'[2]data PPTK'!S142</f>
        <v>WELSON,S.Pt</v>
      </c>
      <c r="W173" s="153" t="str">
        <f>'[2]data PPTK'!T142</f>
        <v>PEMBANGUNAN</v>
      </c>
    </row>
    <row r="174" spans="1:39" s="97" customFormat="1" ht="15.6" customHeight="1" x14ac:dyDescent="0.25">
      <c r="A174" s="136"/>
      <c r="B174" s="137"/>
      <c r="C174" s="137"/>
      <c r="D174" s="137"/>
      <c r="E174" s="137"/>
      <c r="F174" s="155" t="str">
        <f>[1]Mei!$B$690</f>
        <v>Monitoring &amp; Evaluasi Percepatan Pemb. Sanitasi Pemukiman (PPSP)</v>
      </c>
      <c r="G174" s="177" t="s">
        <v>190</v>
      </c>
      <c r="H174" s="140">
        <v>5</v>
      </c>
      <c r="I174" s="140"/>
      <c r="J174" s="140">
        <f>310396155/1000</f>
        <v>310396.15500000003</v>
      </c>
      <c r="K174" s="158">
        <v>1</v>
      </c>
      <c r="L174" s="143" t="s">
        <v>110</v>
      </c>
      <c r="M174" s="158">
        <f>10585000/1000</f>
        <v>10585</v>
      </c>
      <c r="N174" s="145">
        <v>1</v>
      </c>
      <c r="O174" s="146" t="s">
        <v>110</v>
      </c>
      <c r="P174" s="159">
        <f>120000000/1000</f>
        <v>120000</v>
      </c>
      <c r="Q174" s="148">
        <f>50800000/1000</f>
        <v>50800</v>
      </c>
      <c r="R174" s="149">
        <f t="shared" si="2"/>
        <v>69200</v>
      </c>
      <c r="S174" s="150" t="s">
        <v>32</v>
      </c>
      <c r="T174" s="146" t="s">
        <v>110</v>
      </c>
      <c r="U174" s="150" t="s">
        <v>32</v>
      </c>
      <c r="V174" s="152" t="str">
        <f>'[2]data PPTK'!S143</f>
        <v>WELSON,S.Pt</v>
      </c>
      <c r="W174" s="153" t="str">
        <f>'[2]data PPTK'!T143</f>
        <v>PEMBANGUNAN</v>
      </c>
    </row>
    <row r="175" spans="1:39" s="97" customFormat="1" ht="15.6" customHeight="1" x14ac:dyDescent="0.25">
      <c r="A175" s="136"/>
      <c r="B175" s="137"/>
      <c r="C175" s="137"/>
      <c r="D175" s="137"/>
      <c r="E175" s="137"/>
      <c r="F175" s="155" t="str">
        <f>[1]Mei!$B$701</f>
        <v>Pemanfaatan Sistem Database Dukungan Kebijakan Nas.</v>
      </c>
      <c r="G175" s="177" t="s">
        <v>191</v>
      </c>
      <c r="H175" s="140">
        <v>30</v>
      </c>
      <c r="I175" s="140"/>
      <c r="J175" s="140">
        <f>495105882/1000</f>
        <v>495105.88199999998</v>
      </c>
      <c r="K175" s="158">
        <v>1</v>
      </c>
      <c r="L175" s="143" t="s">
        <v>92</v>
      </c>
      <c r="M175" s="158">
        <f>88772300/1000</f>
        <v>88772.3</v>
      </c>
      <c r="N175" s="145">
        <v>1</v>
      </c>
      <c r="O175" s="146" t="s">
        <v>92</v>
      </c>
      <c r="P175" s="159">
        <f>140000000/1000</f>
        <v>140000</v>
      </c>
      <c r="Q175" s="148">
        <f>156906360/1000</f>
        <v>156906.35999999999</v>
      </c>
      <c r="R175" s="149">
        <f t="shared" si="2"/>
        <v>-16906.359999999986</v>
      </c>
      <c r="S175" s="150" t="s">
        <v>32</v>
      </c>
      <c r="T175" s="146" t="s">
        <v>92</v>
      </c>
      <c r="U175" s="150" t="s">
        <v>32</v>
      </c>
      <c r="V175" s="152" t="str">
        <f>'[2]data PPTK'!S144</f>
        <v>WELSON,S.Pt</v>
      </c>
      <c r="W175" s="153" t="str">
        <f>'[2]data PPTK'!T144</f>
        <v>PEMBANGUNAN</v>
      </c>
    </row>
    <row r="176" spans="1:39" s="216" customFormat="1" ht="0.75" customHeight="1" x14ac:dyDescent="0.25">
      <c r="A176" s="203"/>
      <c r="B176" s="204"/>
      <c r="C176" s="204"/>
      <c r="D176" s="204"/>
      <c r="E176" s="204"/>
      <c r="F176" s="225" t="s">
        <v>192</v>
      </c>
      <c r="G176" s="206"/>
      <c r="H176" s="207"/>
      <c r="I176" s="207"/>
      <c r="J176" s="207"/>
      <c r="K176" s="207">
        <v>0</v>
      </c>
      <c r="L176" s="223"/>
      <c r="M176" s="207">
        <f>124180000/1000</f>
        <v>124180</v>
      </c>
      <c r="N176" s="209"/>
      <c r="O176" s="208"/>
      <c r="P176" s="207"/>
      <c r="Q176" s="211"/>
      <c r="R176" s="212">
        <f t="shared" si="2"/>
        <v>0</v>
      </c>
      <c r="S176" s="209"/>
      <c r="T176" s="226"/>
      <c r="U176" s="213"/>
      <c r="V176" s="214"/>
      <c r="W176" s="227"/>
    </row>
    <row r="177" spans="1:39" s="173" customFormat="1" ht="13.2" customHeight="1" x14ac:dyDescent="0.2">
      <c r="A177" s="168" t="s">
        <v>52</v>
      </c>
      <c r="B177" s="169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70"/>
      <c r="W177" s="171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  <c r="AM177" s="172"/>
    </row>
    <row r="178" spans="1:39" s="173" customFormat="1" ht="13.2" customHeight="1" x14ac:dyDescent="0.2">
      <c r="A178" s="168" t="s">
        <v>53</v>
      </c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70">
        <v>1</v>
      </c>
      <c r="W178" s="171"/>
      <c r="X178" s="172"/>
      <c r="Y178" s="172"/>
      <c r="Z178" s="172"/>
      <c r="AA178" s="172"/>
      <c r="AB178" s="172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  <c r="AM178" s="172"/>
    </row>
    <row r="179" spans="1:39" s="193" customFormat="1" ht="15.6" customHeight="1" x14ac:dyDescent="0.25">
      <c r="A179" s="84"/>
      <c r="B179" s="187"/>
      <c r="C179" s="187"/>
      <c r="D179" s="187"/>
      <c r="E179" s="187"/>
      <c r="F179" s="174" t="s">
        <v>193</v>
      </c>
      <c r="G179" s="183" t="s">
        <v>194</v>
      </c>
      <c r="H179" s="126">
        <v>100</v>
      </c>
      <c r="I179" s="126"/>
      <c r="J179" s="126">
        <f>SUM(J180:J185)</f>
        <v>3404002.6639999994</v>
      </c>
      <c r="K179" s="126">
        <v>100</v>
      </c>
      <c r="L179" s="128"/>
      <c r="M179" s="126">
        <f>SUM(M180:M185)</f>
        <v>653027.29999999993</v>
      </c>
      <c r="N179" s="129">
        <v>100</v>
      </c>
      <c r="O179" s="188"/>
      <c r="P179" s="126">
        <f>SUM(P180:P185)</f>
        <v>667320</v>
      </c>
      <c r="Q179" s="126">
        <f>SUM(Q180:Q189)</f>
        <v>1448355</v>
      </c>
      <c r="R179" s="189">
        <f t="shared" si="2"/>
        <v>-781035</v>
      </c>
      <c r="S179" s="129"/>
      <c r="T179" s="190"/>
      <c r="U179" s="176">
        <f>SUM(U180:U185)</f>
        <v>0</v>
      </c>
      <c r="V179" s="191"/>
      <c r="W179" s="192"/>
    </row>
    <row r="180" spans="1:39" s="97" customFormat="1" ht="15.6" customHeight="1" x14ac:dyDescent="0.25">
      <c r="A180" s="136"/>
      <c r="B180" s="137"/>
      <c r="C180" s="137"/>
      <c r="D180" s="137"/>
      <c r="E180" s="137"/>
      <c r="F180" s="155" t="str">
        <f>[1]Mei!$B$716</f>
        <v>Bimbingan / Penyuluhan Remaja (Masjid / Gereja)</v>
      </c>
      <c r="G180" s="177" t="s">
        <v>195</v>
      </c>
      <c r="H180" s="140">
        <v>375</v>
      </c>
      <c r="I180" s="140"/>
      <c r="J180" s="140">
        <f>280555276/1000</f>
        <v>280555.27600000001</v>
      </c>
      <c r="K180" s="158">
        <v>1</v>
      </c>
      <c r="L180" s="143" t="s">
        <v>98</v>
      </c>
      <c r="M180" s="158">
        <f>54739800/1000</f>
        <v>54739.8</v>
      </c>
      <c r="N180" s="145">
        <v>1</v>
      </c>
      <c r="O180" s="146" t="s">
        <v>98</v>
      </c>
      <c r="P180" s="159">
        <f>55000000/1000</f>
        <v>55000</v>
      </c>
      <c r="Q180" s="148">
        <f>55000000/1000</f>
        <v>55000</v>
      </c>
      <c r="R180" s="149">
        <f t="shared" si="2"/>
        <v>0</v>
      </c>
      <c r="S180" s="150" t="s">
        <v>32</v>
      </c>
      <c r="T180" s="146" t="s">
        <v>40</v>
      </c>
      <c r="U180" s="150" t="s">
        <v>32</v>
      </c>
      <c r="V180" s="152" t="str">
        <f>'[2]data PPTK'!S147</f>
        <v>RESTU GODMAN</v>
      </c>
      <c r="W180" s="153" t="str">
        <f>'[2]data PPTK'!T147</f>
        <v>KESRA</v>
      </c>
    </row>
    <row r="181" spans="1:39" s="97" customFormat="1" ht="15.6" customHeight="1" x14ac:dyDescent="0.25">
      <c r="A181" s="136"/>
      <c r="B181" s="137"/>
      <c r="C181" s="137"/>
      <c r="D181" s="137"/>
      <c r="E181" s="137"/>
      <c r="F181" s="155" t="str">
        <f>[1]Mei!$B$732</f>
        <v>Bimbingan Keluarga Sakinah</v>
      </c>
      <c r="G181" s="177" t="s">
        <v>196</v>
      </c>
      <c r="H181" s="140">
        <v>300</v>
      </c>
      <c r="I181" s="140"/>
      <c r="J181" s="140">
        <f>280555276/1000</f>
        <v>280555.27600000001</v>
      </c>
      <c r="K181" s="158">
        <v>1</v>
      </c>
      <c r="L181" s="143" t="s">
        <v>98</v>
      </c>
      <c r="M181" s="158">
        <f>54109800/1000</f>
        <v>54109.8</v>
      </c>
      <c r="N181" s="145">
        <v>1</v>
      </c>
      <c r="O181" s="146" t="s">
        <v>98</v>
      </c>
      <c r="P181" s="159">
        <f>55000000/1000</f>
        <v>55000</v>
      </c>
      <c r="Q181" s="148">
        <f>55000000/1000</f>
        <v>55000</v>
      </c>
      <c r="R181" s="149">
        <f t="shared" si="2"/>
        <v>0</v>
      </c>
      <c r="S181" s="150" t="s">
        <v>32</v>
      </c>
      <c r="T181" s="146" t="s">
        <v>40</v>
      </c>
      <c r="U181" s="150" t="s">
        <v>32</v>
      </c>
      <c r="V181" s="152" t="str">
        <f>'[2]data PPTK'!S148</f>
        <v>MUHAMMAD ALFANI,SE</v>
      </c>
      <c r="W181" s="153" t="str">
        <f>'[2]data PPTK'!T148</f>
        <v>KESRA</v>
      </c>
    </row>
    <row r="182" spans="1:39" s="97" customFormat="1" ht="15.6" customHeight="1" x14ac:dyDescent="0.25">
      <c r="A182" s="136"/>
      <c r="B182" s="137"/>
      <c r="C182" s="137"/>
      <c r="D182" s="137"/>
      <c r="E182" s="137"/>
      <c r="F182" s="155" t="str">
        <f>[1]Mei!$B$749</f>
        <v>Penyelenggaraan Safari Ramadhan</v>
      </c>
      <c r="G182" s="177" t="s">
        <v>197</v>
      </c>
      <c r="H182" s="140">
        <v>45</v>
      </c>
      <c r="I182" s="140"/>
      <c r="J182" s="140">
        <f>456310403/1000</f>
        <v>456310.40299999999</v>
      </c>
      <c r="K182" s="158">
        <v>1</v>
      </c>
      <c r="L182" s="143" t="s">
        <v>98</v>
      </c>
      <c r="M182" s="158">
        <f>89260000/1000</f>
        <v>89260</v>
      </c>
      <c r="N182" s="145">
        <v>1</v>
      </c>
      <c r="O182" s="146" t="s">
        <v>98</v>
      </c>
      <c r="P182" s="159">
        <f>89455000/1000</f>
        <v>89455</v>
      </c>
      <c r="Q182" s="148">
        <f>89455000/1000</f>
        <v>89455</v>
      </c>
      <c r="R182" s="149">
        <f t="shared" si="2"/>
        <v>0</v>
      </c>
      <c r="S182" s="150" t="s">
        <v>32</v>
      </c>
      <c r="T182" s="146" t="s">
        <v>98</v>
      </c>
      <c r="U182" s="150" t="s">
        <v>32</v>
      </c>
      <c r="V182" s="152" t="str">
        <f>'[2]data PPTK'!S149</f>
        <v>MUHAMMAD ALFANI,SE</v>
      </c>
      <c r="W182" s="153" t="str">
        <f>'[2]data PPTK'!T149</f>
        <v>KESRA</v>
      </c>
    </row>
    <row r="183" spans="1:39" s="97" customFormat="1" ht="15.6" customHeight="1" x14ac:dyDescent="0.25">
      <c r="A183" s="136"/>
      <c r="B183" s="137"/>
      <c r="C183" s="137"/>
      <c r="D183" s="137"/>
      <c r="E183" s="137"/>
      <c r="F183" s="155" t="str">
        <f>[1]Mei!$B$756</f>
        <v>Penyelenggaraan Ibadah Haji</v>
      </c>
      <c r="G183" s="177" t="s">
        <v>198</v>
      </c>
      <c r="H183" s="140">
        <v>175</v>
      </c>
      <c r="I183" s="140"/>
      <c r="J183" s="140">
        <f>1264615657/1000</f>
        <v>1264615.6569999999</v>
      </c>
      <c r="K183" s="158">
        <v>1</v>
      </c>
      <c r="L183" s="143" t="s">
        <v>98</v>
      </c>
      <c r="M183" s="158">
        <f>235568100/1000</f>
        <v>235568.1</v>
      </c>
      <c r="N183" s="145">
        <v>1</v>
      </c>
      <c r="O183" s="146" t="s">
        <v>98</v>
      </c>
      <c r="P183" s="159">
        <f>247915000/1000</f>
        <v>247915</v>
      </c>
      <c r="Q183" s="148">
        <f>247915000/1000</f>
        <v>247915</v>
      </c>
      <c r="R183" s="149">
        <f t="shared" si="2"/>
        <v>0</v>
      </c>
      <c r="S183" s="150" t="s">
        <v>32</v>
      </c>
      <c r="T183" s="146" t="s">
        <v>40</v>
      </c>
      <c r="U183" s="150" t="s">
        <v>32</v>
      </c>
      <c r="V183" s="152" t="str">
        <f>'[2]data PPTK'!S150</f>
        <v>H.ABDUL KOHAR,S.Pd</v>
      </c>
      <c r="W183" s="153" t="str">
        <f>'[2]data PPTK'!T150</f>
        <v>KESRA</v>
      </c>
    </row>
    <row r="184" spans="1:39" s="97" customFormat="1" ht="15.6" customHeight="1" x14ac:dyDescent="0.25">
      <c r="A184" s="136"/>
      <c r="B184" s="137"/>
      <c r="C184" s="137"/>
      <c r="D184" s="137"/>
      <c r="E184" s="137"/>
      <c r="F184" s="155" t="str">
        <f>[1]Mei!$B$777</f>
        <v>Penyelenggaraan Kunjungan Natal</v>
      </c>
      <c r="G184" s="177" t="s">
        <v>199</v>
      </c>
      <c r="H184" s="140">
        <v>25</v>
      </c>
      <c r="I184" s="140"/>
      <c r="J184" s="140">
        <f>790400726/1000</f>
        <v>790400.72600000002</v>
      </c>
      <c r="K184" s="158">
        <v>1</v>
      </c>
      <c r="L184" s="143" t="s">
        <v>98</v>
      </c>
      <c r="M184" s="158">
        <f>154735000/1000</f>
        <v>154735</v>
      </c>
      <c r="N184" s="145">
        <v>1</v>
      </c>
      <c r="O184" s="146" t="s">
        <v>98</v>
      </c>
      <c r="P184" s="159">
        <f>154950000/1000</f>
        <v>154950</v>
      </c>
      <c r="Q184" s="148">
        <f>154950000/1000</f>
        <v>154950</v>
      </c>
      <c r="R184" s="149">
        <f t="shared" si="2"/>
        <v>0</v>
      </c>
      <c r="S184" s="150" t="s">
        <v>32</v>
      </c>
      <c r="T184" s="146" t="s">
        <v>98</v>
      </c>
      <c r="U184" s="150" t="s">
        <v>32</v>
      </c>
      <c r="V184" s="152" t="str">
        <f>'[2]data PPTK'!S151</f>
        <v>ELGA NATALIA TAHAN.S,Sos</v>
      </c>
      <c r="W184" s="153" t="str">
        <f>'[2]data PPTK'!T151</f>
        <v>KESRA</v>
      </c>
    </row>
    <row r="185" spans="1:39" s="97" customFormat="1" ht="15.6" customHeight="1" x14ac:dyDescent="0.25">
      <c r="A185" s="136"/>
      <c r="B185" s="137"/>
      <c r="C185" s="137"/>
      <c r="D185" s="137"/>
      <c r="E185" s="137"/>
      <c r="F185" s="155" t="str">
        <f>[1]Mei!$B$785</f>
        <v>Bimbingan Keluarga Kristen Bahagia</v>
      </c>
      <c r="G185" s="177" t="s">
        <v>200</v>
      </c>
      <c r="H185" s="140">
        <v>400</v>
      </c>
      <c r="I185" s="140"/>
      <c r="J185" s="140">
        <f>331565326/1000</f>
        <v>331565.326</v>
      </c>
      <c r="K185" s="158">
        <v>1</v>
      </c>
      <c r="L185" s="143" t="s">
        <v>98</v>
      </c>
      <c r="M185" s="158">
        <f>64614600/1000</f>
        <v>64614.6</v>
      </c>
      <c r="N185" s="145">
        <v>1</v>
      </c>
      <c r="O185" s="146" t="s">
        <v>98</v>
      </c>
      <c r="P185" s="159">
        <f>65000000/1000</f>
        <v>65000</v>
      </c>
      <c r="Q185" s="148">
        <f>65000000/1000</f>
        <v>65000</v>
      </c>
      <c r="R185" s="149">
        <f t="shared" si="2"/>
        <v>0</v>
      </c>
      <c r="S185" s="150" t="s">
        <v>32</v>
      </c>
      <c r="T185" s="146" t="s">
        <v>40</v>
      </c>
      <c r="U185" s="150" t="s">
        <v>32</v>
      </c>
      <c r="V185" s="152" t="str">
        <f>'[2]data PPTK'!S152</f>
        <v>RESTU GODMAN</v>
      </c>
      <c r="W185" s="153" t="str">
        <f>'[2]data PPTK'!T152</f>
        <v>KESRA</v>
      </c>
    </row>
    <row r="186" spans="1:39" s="161" customFormat="1" ht="15.6" customHeight="1" x14ac:dyDescent="0.25">
      <c r="A186" s="136"/>
      <c r="B186" s="137"/>
      <c r="C186" s="137"/>
      <c r="D186" s="137"/>
      <c r="E186" s="137"/>
      <c r="F186" s="179" t="s">
        <v>201</v>
      </c>
      <c r="G186" s="180"/>
      <c r="H186" s="159"/>
      <c r="I186" s="159"/>
      <c r="J186" s="159"/>
      <c r="K186" s="159"/>
      <c r="L186" s="143"/>
      <c r="M186" s="159"/>
      <c r="N186" s="145"/>
      <c r="O186" s="146"/>
      <c r="P186" s="159"/>
      <c r="Q186" s="148">
        <f>151035000/1000</f>
        <v>151035</v>
      </c>
      <c r="R186" s="149">
        <f>P186-Q186</f>
        <v>-151035</v>
      </c>
      <c r="S186" s="150" t="s">
        <v>32</v>
      </c>
      <c r="T186" s="146" t="s">
        <v>98</v>
      </c>
      <c r="U186" s="150" t="s">
        <v>32</v>
      </c>
      <c r="V186" s="152" t="str">
        <f>'[2]data PPTK'!S153</f>
        <v>MUHAMMAD ALFANI,SE</v>
      </c>
      <c r="W186" s="153" t="str">
        <f>'[2]data PPTK'!T153</f>
        <v>KESRA</v>
      </c>
    </row>
    <row r="187" spans="1:39" s="161" customFormat="1" ht="15.6" customHeight="1" x14ac:dyDescent="0.25">
      <c r="A187" s="136"/>
      <c r="B187" s="137"/>
      <c r="C187" s="137"/>
      <c r="D187" s="137"/>
      <c r="E187" s="137"/>
      <c r="F187" s="179" t="s">
        <v>202</v>
      </c>
      <c r="G187" s="180"/>
      <c r="H187" s="159"/>
      <c r="I187" s="159"/>
      <c r="J187" s="159"/>
      <c r="K187" s="159"/>
      <c r="L187" s="143"/>
      <c r="M187" s="159"/>
      <c r="N187" s="145"/>
      <c r="O187" s="146"/>
      <c r="P187" s="159"/>
      <c r="Q187" s="148">
        <f>200000000/1000</f>
        <v>200000</v>
      </c>
      <c r="R187" s="149">
        <f>P187-Q187</f>
        <v>-200000</v>
      </c>
      <c r="S187" s="150" t="s">
        <v>32</v>
      </c>
      <c r="T187" s="146" t="s">
        <v>40</v>
      </c>
      <c r="U187" s="150" t="s">
        <v>32</v>
      </c>
      <c r="V187" s="152" t="str">
        <f>'[2]data PPTK'!S154</f>
        <v>REDIMAN,S.STP</v>
      </c>
      <c r="W187" s="153" t="str">
        <f>'[2]data PPTK'!T154</f>
        <v>KESRA</v>
      </c>
    </row>
    <row r="188" spans="1:39" s="161" customFormat="1" ht="15.6" customHeight="1" x14ac:dyDescent="0.25">
      <c r="A188" s="136"/>
      <c r="B188" s="137"/>
      <c r="C188" s="137"/>
      <c r="D188" s="137"/>
      <c r="E188" s="137"/>
      <c r="F188" s="179" t="s">
        <v>203</v>
      </c>
      <c r="G188" s="180"/>
      <c r="H188" s="159"/>
      <c r="I188" s="159"/>
      <c r="J188" s="159"/>
      <c r="K188" s="159"/>
      <c r="L188" s="143"/>
      <c r="M188" s="159"/>
      <c r="N188" s="145"/>
      <c r="O188" s="146"/>
      <c r="P188" s="159"/>
      <c r="Q188" s="148">
        <f>30000000/1000</f>
        <v>30000</v>
      </c>
      <c r="R188" s="149">
        <f>P188-Q188</f>
        <v>-30000</v>
      </c>
      <c r="S188" s="150" t="s">
        <v>32</v>
      </c>
      <c r="T188" s="146" t="s">
        <v>98</v>
      </c>
      <c r="U188" s="150" t="s">
        <v>32</v>
      </c>
      <c r="V188" s="152" t="str">
        <f>'[2]data PPTK'!S155</f>
        <v>MUHAMMAD ALFANI,SE</v>
      </c>
      <c r="W188" s="153" t="str">
        <f>'[2]data PPTK'!T155</f>
        <v>KESRA</v>
      </c>
    </row>
    <row r="189" spans="1:39" s="161" customFormat="1" ht="15.6" customHeight="1" x14ac:dyDescent="0.25">
      <c r="A189" s="136"/>
      <c r="B189" s="137"/>
      <c r="C189" s="137"/>
      <c r="D189" s="137"/>
      <c r="E189" s="137"/>
      <c r="F189" s="179" t="s">
        <v>204</v>
      </c>
      <c r="G189" s="180"/>
      <c r="H189" s="159"/>
      <c r="I189" s="159"/>
      <c r="J189" s="159"/>
      <c r="K189" s="159"/>
      <c r="L189" s="143"/>
      <c r="M189" s="159"/>
      <c r="N189" s="145"/>
      <c r="O189" s="146"/>
      <c r="P189" s="159"/>
      <c r="Q189" s="148">
        <f>400000000/1000</f>
        <v>400000</v>
      </c>
      <c r="R189" s="149">
        <f>P189-Q189</f>
        <v>-400000</v>
      </c>
      <c r="S189" s="150" t="s">
        <v>32</v>
      </c>
      <c r="T189" s="146" t="s">
        <v>98</v>
      </c>
      <c r="U189" s="150" t="s">
        <v>32</v>
      </c>
      <c r="V189" s="152" t="str">
        <f>'[2]data PPTK'!S156</f>
        <v>ELGA NATALIA TAHAN.S,Sos</v>
      </c>
      <c r="W189" s="153" t="str">
        <f>'[2]data PPTK'!T156</f>
        <v>KESRA</v>
      </c>
    </row>
    <row r="190" spans="1:39" s="173" customFormat="1" ht="13.2" customHeight="1" x14ac:dyDescent="0.2">
      <c r="A190" s="168" t="s">
        <v>52</v>
      </c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70"/>
      <c r="W190" s="171"/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  <c r="AM190" s="172"/>
    </row>
    <row r="191" spans="1:39" s="173" customFormat="1" ht="13.2" customHeight="1" x14ac:dyDescent="0.2">
      <c r="A191" s="168" t="s">
        <v>53</v>
      </c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70">
        <v>1</v>
      </c>
      <c r="W191" s="171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  <c r="AM191" s="172"/>
    </row>
    <row r="192" spans="1:39" s="193" customFormat="1" ht="15.6" customHeight="1" x14ac:dyDescent="0.25">
      <c r="A192" s="84"/>
      <c r="B192" s="187"/>
      <c r="C192" s="187"/>
      <c r="D192" s="187"/>
      <c r="E192" s="187"/>
      <c r="F192" s="174" t="s">
        <v>205</v>
      </c>
      <c r="G192" s="183" t="s">
        <v>206</v>
      </c>
      <c r="H192" s="126">
        <v>100</v>
      </c>
      <c r="I192" s="126"/>
      <c r="J192" s="126">
        <f>SUM(J193:J198)</f>
        <v>1987184.4720000001</v>
      </c>
      <c r="K192" s="126">
        <v>100</v>
      </c>
      <c r="L192" s="128"/>
      <c r="M192" s="126">
        <f>SUM(M193:M198)</f>
        <v>360641.24799999996</v>
      </c>
      <c r="N192" s="129">
        <v>100</v>
      </c>
      <c r="O192" s="188"/>
      <c r="P192" s="126">
        <f>SUM(P193:P198)</f>
        <v>655000</v>
      </c>
      <c r="Q192" s="126">
        <f>SUM(Q193:Q199)</f>
        <v>755750</v>
      </c>
      <c r="R192" s="189">
        <f t="shared" si="2"/>
        <v>-100750</v>
      </c>
      <c r="S192" s="129"/>
      <c r="T192" s="190"/>
      <c r="U192" s="176">
        <f>SUM(U193:U198)</f>
        <v>0</v>
      </c>
      <c r="V192" s="191"/>
      <c r="W192" s="192"/>
    </row>
    <row r="193" spans="1:39" s="97" customFormat="1" ht="15.6" customHeight="1" x14ac:dyDescent="0.25">
      <c r="A193" s="136"/>
      <c r="B193" s="137"/>
      <c r="C193" s="137"/>
      <c r="D193" s="137"/>
      <c r="E193" s="137"/>
      <c r="F193" s="155" t="str">
        <f>[1]Mei!$B$802</f>
        <v xml:space="preserve">Khitanan Massal </v>
      </c>
      <c r="G193" s="177" t="s">
        <v>207</v>
      </c>
      <c r="H193" s="140">
        <v>75</v>
      </c>
      <c r="I193" s="140"/>
      <c r="J193" s="140">
        <f>306060301/1000</f>
        <v>306060.30099999998</v>
      </c>
      <c r="K193" s="158">
        <v>1</v>
      </c>
      <c r="L193" s="143" t="s">
        <v>98</v>
      </c>
      <c r="M193" s="158">
        <f>59800000/1000</f>
        <v>59800</v>
      </c>
      <c r="N193" s="145">
        <v>1</v>
      </c>
      <c r="O193" s="146" t="s">
        <v>98</v>
      </c>
      <c r="P193" s="159">
        <f>60000000/1000</f>
        <v>60000</v>
      </c>
      <c r="Q193" s="148">
        <f>60000000/1000</f>
        <v>60000</v>
      </c>
      <c r="R193" s="149">
        <f t="shared" si="2"/>
        <v>0</v>
      </c>
      <c r="S193" s="150" t="s">
        <v>32</v>
      </c>
      <c r="T193" s="146" t="s">
        <v>40</v>
      </c>
      <c r="U193" s="150" t="s">
        <v>32</v>
      </c>
      <c r="V193" s="152" t="str">
        <f>'[2]data PPTK'!S159</f>
        <v>MUHAMMAD ALFANI,SE</v>
      </c>
      <c r="W193" s="153" t="str">
        <f>W189</f>
        <v>KESRA</v>
      </c>
    </row>
    <row r="194" spans="1:39" s="97" customFormat="1" ht="15.6" customHeight="1" x14ac:dyDescent="0.25">
      <c r="A194" s="136"/>
      <c r="B194" s="137"/>
      <c r="C194" s="137"/>
      <c r="D194" s="137"/>
      <c r="E194" s="137"/>
      <c r="F194" s="155" t="str">
        <f>[1]Mei!$B$819</f>
        <v xml:space="preserve">Isbat Nikah </v>
      </c>
      <c r="G194" s="177" t="s">
        <v>208</v>
      </c>
      <c r="H194" s="140">
        <v>250</v>
      </c>
      <c r="I194" s="140"/>
      <c r="J194" s="140">
        <f>433585426/1000</f>
        <v>433585.42599999998</v>
      </c>
      <c r="K194" s="158">
        <v>1</v>
      </c>
      <c r="L194" s="143" t="s">
        <v>98</v>
      </c>
      <c r="M194" s="158">
        <f>84036400/1000</f>
        <v>84036.4</v>
      </c>
      <c r="N194" s="145">
        <v>1</v>
      </c>
      <c r="O194" s="146" t="s">
        <v>98</v>
      </c>
      <c r="P194" s="159">
        <f>85000000/1000</f>
        <v>85000</v>
      </c>
      <c r="Q194" s="148">
        <f>85000000/1000</f>
        <v>85000</v>
      </c>
      <c r="R194" s="149">
        <f t="shared" si="2"/>
        <v>0</v>
      </c>
      <c r="S194" s="150" t="s">
        <v>32</v>
      </c>
      <c r="T194" s="146" t="s">
        <v>40</v>
      </c>
      <c r="U194" s="150" t="s">
        <v>32</v>
      </c>
      <c r="V194" s="152" t="str">
        <f>'[2]data PPTK'!S160</f>
        <v>H.ABDUL KOHAR,S.Pd</v>
      </c>
      <c r="W194" s="153" t="str">
        <f>'[2]data PPTK'!T160</f>
        <v>KESRA</v>
      </c>
    </row>
    <row r="195" spans="1:39" s="97" customFormat="1" ht="15.6" customHeight="1" x14ac:dyDescent="0.25">
      <c r="A195" s="136"/>
      <c r="B195" s="137"/>
      <c r="C195" s="137"/>
      <c r="D195" s="137"/>
      <c r="E195" s="137"/>
      <c r="F195" s="155" t="str">
        <f>[1]Mei!$B$837</f>
        <v>Koordinasi &amp; Konsultasi Bidang Kesejahteraan Rakyat</v>
      </c>
      <c r="G195" s="177" t="s">
        <v>209</v>
      </c>
      <c r="H195" s="140">
        <v>60</v>
      </c>
      <c r="I195" s="140"/>
      <c r="J195" s="140">
        <f>552563125/1000</f>
        <v>552563.125</v>
      </c>
      <c r="K195" s="158">
        <v>1</v>
      </c>
      <c r="L195" s="143" t="s">
        <v>110</v>
      </c>
      <c r="M195" s="158">
        <f>98130600/1000</f>
        <v>98130.6</v>
      </c>
      <c r="N195" s="145">
        <v>1</v>
      </c>
      <c r="O195" s="146" t="s">
        <v>110</v>
      </c>
      <c r="P195" s="159">
        <f>100000000/1000</f>
        <v>100000</v>
      </c>
      <c r="Q195" s="148">
        <f>100000000/1000</f>
        <v>100000</v>
      </c>
      <c r="R195" s="149">
        <f t="shared" si="2"/>
        <v>0</v>
      </c>
      <c r="S195" s="150" t="s">
        <v>32</v>
      </c>
      <c r="T195" s="146" t="s">
        <v>110</v>
      </c>
      <c r="U195" s="150" t="s">
        <v>32</v>
      </c>
      <c r="V195" s="152" t="str">
        <f>'[2]data PPTK'!S161</f>
        <v>ELGA NATALIA TAHAN.S,Sos</v>
      </c>
      <c r="W195" s="153" t="str">
        <f>'[2]data PPTK'!T161</f>
        <v>KESRA</v>
      </c>
    </row>
    <row r="196" spans="1:39" s="97" customFormat="1" ht="15.6" customHeight="1" x14ac:dyDescent="0.25">
      <c r="A196" s="136"/>
      <c r="B196" s="137"/>
      <c r="C196" s="137"/>
      <c r="D196" s="137"/>
      <c r="E196" s="137"/>
      <c r="F196" s="155" t="str">
        <f>[1]Mei!$B$841</f>
        <v>Pembinaan Mental Spiritual / Keagamaan</v>
      </c>
      <c r="G196" s="177" t="s">
        <v>210</v>
      </c>
      <c r="H196" s="140">
        <v>75</v>
      </c>
      <c r="I196" s="140"/>
      <c r="J196" s="140">
        <f>280553276/1000</f>
        <v>280553.27600000001</v>
      </c>
      <c r="K196" s="158">
        <v>1</v>
      </c>
      <c r="L196" s="143" t="s">
        <v>98</v>
      </c>
      <c r="M196" s="158">
        <f>54739800/1000</f>
        <v>54739.8</v>
      </c>
      <c r="N196" s="145">
        <v>1</v>
      </c>
      <c r="O196" s="146" t="s">
        <v>98</v>
      </c>
      <c r="P196" s="159">
        <f>55000000/1000</f>
        <v>55000</v>
      </c>
      <c r="Q196" s="148">
        <f>55000000/1000</f>
        <v>55000</v>
      </c>
      <c r="R196" s="149">
        <f t="shared" si="2"/>
        <v>0</v>
      </c>
      <c r="S196" s="150" t="s">
        <v>32</v>
      </c>
      <c r="T196" s="146" t="s">
        <v>40</v>
      </c>
      <c r="U196" s="150" t="s">
        <v>32</v>
      </c>
      <c r="V196" s="152" t="str">
        <f>'[2]data PPTK'!S162</f>
        <v>REDIMAN,S.STP</v>
      </c>
      <c r="W196" s="153" t="str">
        <f>'[2]data PPTK'!T162</f>
        <v>KESRA</v>
      </c>
    </row>
    <row r="197" spans="1:39" s="97" customFormat="1" ht="15.6" customHeight="1" x14ac:dyDescent="0.25">
      <c r="A197" s="136"/>
      <c r="B197" s="137"/>
      <c r="C197" s="137"/>
      <c r="D197" s="137"/>
      <c r="E197" s="137"/>
      <c r="F197" s="155" t="str">
        <f>[1]Mei!$B$859</f>
        <v>Pemeliharaan dan Operasional Mahasiswa</v>
      </c>
      <c r="G197" s="177" t="s">
        <v>211</v>
      </c>
      <c r="H197" s="140">
        <v>60</v>
      </c>
      <c r="I197" s="140"/>
      <c r="J197" s="140">
        <f>414422344/1000</f>
        <v>414422.34399999998</v>
      </c>
      <c r="K197" s="158">
        <v>12</v>
      </c>
      <c r="L197" s="143" t="s">
        <v>31</v>
      </c>
      <c r="M197" s="158">
        <f>63934448/1000</f>
        <v>63934.447999999997</v>
      </c>
      <c r="N197" s="145">
        <v>12</v>
      </c>
      <c r="O197" s="146" t="s">
        <v>31</v>
      </c>
      <c r="P197" s="159">
        <f>75000000/1000</f>
        <v>75000</v>
      </c>
      <c r="Q197" s="148">
        <f>125000000/1000</f>
        <v>125000</v>
      </c>
      <c r="R197" s="149">
        <f>P197-Q197</f>
        <v>-50000</v>
      </c>
      <c r="S197" s="150" t="s">
        <v>32</v>
      </c>
      <c r="T197" s="146" t="s">
        <v>31</v>
      </c>
      <c r="U197" s="150" t="s">
        <v>32</v>
      </c>
      <c r="V197" s="152" t="str">
        <f>'[2]data PPTK'!S164</f>
        <v>RESTU GODMAN</v>
      </c>
      <c r="W197" s="153" t="str">
        <f>'[2]data PPTK'!T164</f>
        <v>KESRA</v>
      </c>
    </row>
    <row r="198" spans="1:39" s="97" customFormat="1" ht="15.6" customHeight="1" x14ac:dyDescent="0.25">
      <c r="A198" s="136"/>
      <c r="B198" s="137"/>
      <c r="C198" s="137"/>
      <c r="D198" s="137"/>
      <c r="E198" s="137"/>
      <c r="F198" s="155" t="s">
        <v>212</v>
      </c>
      <c r="G198" s="177" t="s">
        <v>213</v>
      </c>
      <c r="H198" s="140"/>
      <c r="I198" s="140"/>
      <c r="J198" s="140"/>
      <c r="K198" s="158"/>
      <c r="L198" s="143"/>
      <c r="M198" s="158"/>
      <c r="N198" s="145">
        <v>150</v>
      </c>
      <c r="O198" s="146" t="s">
        <v>214</v>
      </c>
      <c r="P198" s="159">
        <f>280000000/1000</f>
        <v>280000</v>
      </c>
      <c r="Q198" s="148">
        <f>280000000/1000</f>
        <v>280000</v>
      </c>
      <c r="R198" s="149">
        <f t="shared" si="2"/>
        <v>0</v>
      </c>
      <c r="S198" s="150" t="s">
        <v>32</v>
      </c>
      <c r="T198" s="146" t="s">
        <v>214</v>
      </c>
      <c r="U198" s="150" t="s">
        <v>32</v>
      </c>
      <c r="V198" s="152" t="str">
        <f>'[2]data PPTK'!S163</f>
        <v>TONY GRATIAS</v>
      </c>
      <c r="W198" s="153" t="str">
        <f>'[2]data PPTK'!T163</f>
        <v>PERLENGKAPAN</v>
      </c>
    </row>
    <row r="199" spans="1:39" s="97" customFormat="1" ht="15.6" customHeight="1" x14ac:dyDescent="0.25">
      <c r="A199" s="136"/>
      <c r="B199" s="137"/>
      <c r="C199" s="137"/>
      <c r="D199" s="137"/>
      <c r="E199" s="137"/>
      <c r="F199" s="155" t="s">
        <v>215</v>
      </c>
      <c r="G199" s="177"/>
      <c r="H199" s="140"/>
      <c r="I199" s="140"/>
      <c r="J199" s="140"/>
      <c r="K199" s="158"/>
      <c r="L199" s="143"/>
      <c r="M199" s="158"/>
      <c r="N199" s="145"/>
      <c r="O199" s="146"/>
      <c r="P199" s="159"/>
      <c r="Q199" s="148">
        <f>50750000/1000</f>
        <v>50750</v>
      </c>
      <c r="R199" s="149">
        <f>P199-Q199</f>
        <v>-50750</v>
      </c>
      <c r="S199" s="150" t="s">
        <v>32</v>
      </c>
      <c r="T199" s="146" t="s">
        <v>36</v>
      </c>
      <c r="U199" s="150" t="s">
        <v>32</v>
      </c>
      <c r="V199" s="152" t="str">
        <f>'[2]data PPTK'!S165</f>
        <v>MUHAMMAD ALFANI,SE</v>
      </c>
      <c r="W199" s="153" t="str">
        <f>'[2]data PPTK'!T165</f>
        <v>KESRA</v>
      </c>
    </row>
    <row r="200" spans="1:39" s="173" customFormat="1" ht="13.2" customHeight="1" x14ac:dyDescent="0.2">
      <c r="A200" s="168" t="s">
        <v>52</v>
      </c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70"/>
      <c r="W200" s="228"/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  <c r="AM200" s="172"/>
    </row>
    <row r="201" spans="1:39" s="173" customFormat="1" ht="13.2" customHeight="1" x14ac:dyDescent="0.2">
      <c r="A201" s="168" t="s">
        <v>53</v>
      </c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70">
        <v>1</v>
      </c>
      <c r="W201" s="171"/>
      <c r="X201" s="172"/>
      <c r="Y201" s="172"/>
      <c r="Z201" s="172"/>
      <c r="AA201" s="172"/>
      <c r="AB201" s="172"/>
      <c r="AC201" s="172"/>
      <c r="AD201" s="172"/>
      <c r="AE201" s="172"/>
      <c r="AF201" s="172"/>
      <c r="AG201" s="172"/>
      <c r="AH201" s="172"/>
      <c r="AI201" s="172"/>
      <c r="AJ201" s="172"/>
      <c r="AK201" s="172"/>
      <c r="AL201" s="172"/>
      <c r="AM201" s="172"/>
    </row>
    <row r="202" spans="1:39" s="193" customFormat="1" ht="15.6" customHeight="1" x14ac:dyDescent="0.25">
      <c r="A202" s="84"/>
      <c r="B202" s="187"/>
      <c r="C202" s="187"/>
      <c r="D202" s="187"/>
      <c r="E202" s="187"/>
      <c r="F202" s="174" t="s">
        <v>216</v>
      </c>
      <c r="G202" s="183" t="s">
        <v>217</v>
      </c>
      <c r="H202" s="126">
        <v>100</v>
      </c>
      <c r="I202" s="126"/>
      <c r="J202" s="126">
        <f>SUM(J203:J208)</f>
        <v>10344889.063999999</v>
      </c>
      <c r="K202" s="126">
        <v>100</v>
      </c>
      <c r="L202" s="128"/>
      <c r="M202" s="126">
        <f>SUM(M203:M208)</f>
        <v>1713391.5860000001</v>
      </c>
      <c r="N202" s="129">
        <v>100</v>
      </c>
      <c r="O202" s="188"/>
      <c r="P202" s="126">
        <f>SUM(P203:P208)</f>
        <v>1919650</v>
      </c>
      <c r="Q202" s="185">
        <f>SUM(Q203:Q208)</f>
        <v>2058821.568</v>
      </c>
      <c r="R202" s="189">
        <f>P202-Q202</f>
        <v>-139171.56799999997</v>
      </c>
      <c r="S202" s="129"/>
      <c r="T202" s="190"/>
      <c r="U202" s="176">
        <f>SUM(U203:U208)</f>
        <v>0</v>
      </c>
      <c r="V202" s="191"/>
      <c r="W202" s="192"/>
    </row>
    <row r="203" spans="1:39" s="97" customFormat="1" ht="15.6" customHeight="1" x14ac:dyDescent="0.25">
      <c r="A203" s="136"/>
      <c r="B203" s="137"/>
      <c r="C203" s="137"/>
      <c r="D203" s="137"/>
      <c r="E203" s="137"/>
      <c r="F203" s="155" t="str">
        <f>[1]Mei!$B$868</f>
        <v>Pelayanan Kerumahtanggaan KDH / WKDH</v>
      </c>
      <c r="G203" s="177" t="s">
        <v>218</v>
      </c>
      <c r="H203" s="140">
        <v>60</v>
      </c>
      <c r="I203" s="140"/>
      <c r="J203" s="140">
        <f>5183634120/1000</f>
        <v>5183634.12</v>
      </c>
      <c r="K203" s="158">
        <v>1</v>
      </c>
      <c r="L203" s="143" t="s">
        <v>110</v>
      </c>
      <c r="M203" s="158">
        <f>986435193/1000</f>
        <v>986435.19299999997</v>
      </c>
      <c r="N203" s="145">
        <v>1</v>
      </c>
      <c r="O203" s="146" t="s">
        <v>110</v>
      </c>
      <c r="P203" s="159">
        <f>1000000000/1000</f>
        <v>1000000</v>
      </c>
      <c r="Q203" s="148">
        <f>1139521568/1000</f>
        <v>1139521.568</v>
      </c>
      <c r="R203" s="149">
        <f t="shared" si="2"/>
        <v>-139521.56799999997</v>
      </c>
      <c r="S203" s="150" t="s">
        <v>32</v>
      </c>
      <c r="T203" s="146" t="s">
        <v>110</v>
      </c>
      <c r="U203" s="150" t="s">
        <v>32</v>
      </c>
      <c r="V203" s="152" t="str">
        <f>'[2]data PPTK'!S168</f>
        <v>TITUS WELSI</v>
      </c>
      <c r="W203" s="153" t="str">
        <f>'[2]data PPTK'!T168</f>
        <v>UMUM</v>
      </c>
    </row>
    <row r="204" spans="1:39" s="97" customFormat="1" ht="15.6" customHeight="1" x14ac:dyDescent="0.25">
      <c r="A204" s="136"/>
      <c r="B204" s="137"/>
      <c r="C204" s="137"/>
      <c r="D204" s="137"/>
      <c r="E204" s="137"/>
      <c r="F204" s="155" t="str">
        <f>[1]Mei!$B$882</f>
        <v>Pemeliharaan Rujab dan Barang Inventaris KDH / WKDH</v>
      </c>
      <c r="G204" s="177" t="s">
        <v>219</v>
      </c>
      <c r="H204" s="140">
        <v>60</v>
      </c>
      <c r="I204" s="140"/>
      <c r="J204" s="140">
        <f>636336227/1000</f>
        <v>636336.22699999996</v>
      </c>
      <c r="K204" s="158">
        <v>1</v>
      </c>
      <c r="L204" s="143" t="s">
        <v>110</v>
      </c>
      <c r="M204" s="158">
        <f>123453000/1000</f>
        <v>123453</v>
      </c>
      <c r="N204" s="145">
        <v>1</v>
      </c>
      <c r="O204" s="146" t="s">
        <v>110</v>
      </c>
      <c r="P204" s="159">
        <f>123500000/1000</f>
        <v>123500</v>
      </c>
      <c r="Q204" s="148">
        <f>138500000/1000</f>
        <v>138500</v>
      </c>
      <c r="R204" s="149">
        <f t="shared" si="2"/>
        <v>-15000</v>
      </c>
      <c r="S204" s="150" t="s">
        <v>32</v>
      </c>
      <c r="T204" s="146" t="s">
        <v>110</v>
      </c>
      <c r="U204" s="150" t="s">
        <v>32</v>
      </c>
      <c r="V204" s="152" t="str">
        <f>'[2]data PPTK'!S169</f>
        <v>GUSNIWADI,SH</v>
      </c>
      <c r="W204" s="153" t="str">
        <f>'[2]data PPTK'!T169</f>
        <v>PERLENGKAPAN</v>
      </c>
    </row>
    <row r="205" spans="1:39" s="97" customFormat="1" ht="15.6" customHeight="1" x14ac:dyDescent="0.25">
      <c r="A205" s="136"/>
      <c r="B205" s="137"/>
      <c r="C205" s="137"/>
      <c r="D205" s="137"/>
      <c r="E205" s="137"/>
      <c r="F205" s="155" t="str">
        <f>[1]Mei!$B$886</f>
        <v>Pemeliharaan Kend. Dinas / Jbtan KDH / WKDH</v>
      </c>
      <c r="G205" s="177" t="s">
        <v>220</v>
      </c>
      <c r="H205" s="140">
        <v>60</v>
      </c>
      <c r="I205" s="140"/>
      <c r="J205" s="140">
        <f>736219896/1000</f>
        <v>736219.89599999995</v>
      </c>
      <c r="K205" s="158">
        <v>4</v>
      </c>
      <c r="L205" s="143" t="s">
        <v>59</v>
      </c>
      <c r="M205" s="158">
        <f>158656556/1000</f>
        <v>158656.55600000001</v>
      </c>
      <c r="N205" s="145">
        <v>4</v>
      </c>
      <c r="O205" s="146" t="s">
        <v>59</v>
      </c>
      <c r="P205" s="159">
        <f>140800000/1000</f>
        <v>140800</v>
      </c>
      <c r="Q205" s="148">
        <f>140800000/1000</f>
        <v>140800</v>
      </c>
      <c r="R205" s="149">
        <f t="shared" si="2"/>
        <v>0</v>
      </c>
      <c r="S205" s="150" t="s">
        <v>32</v>
      </c>
      <c r="T205" s="146" t="s">
        <v>59</v>
      </c>
      <c r="U205" s="150" t="s">
        <v>32</v>
      </c>
      <c r="V205" s="152" t="str">
        <f>'[2]data PPTK'!S170</f>
        <v>TONY GRATIAS</v>
      </c>
      <c r="W205" s="153" t="str">
        <f>'[2]data PPTK'!T170</f>
        <v>PERLENGKAPAN</v>
      </c>
    </row>
    <row r="206" spans="1:39" s="97" customFormat="1" ht="15.6" customHeight="1" x14ac:dyDescent="0.25">
      <c r="A206" s="136"/>
      <c r="B206" s="137"/>
      <c r="C206" s="137"/>
      <c r="D206" s="137"/>
      <c r="E206" s="137"/>
      <c r="F206" s="155" t="str">
        <f>[1]Mei!$B$893</f>
        <v>Pemeliharaan Kesehatan KDH / WKDH</v>
      </c>
      <c r="G206" s="177" t="s">
        <v>221</v>
      </c>
      <c r="H206" s="140">
        <v>60</v>
      </c>
      <c r="I206" s="140"/>
      <c r="J206" s="140">
        <f>1872558542/1000</f>
        <v>1872558.5419999999</v>
      </c>
      <c r="K206" s="158">
        <v>1</v>
      </c>
      <c r="L206" s="143" t="s">
        <v>110</v>
      </c>
      <c r="M206" s="158">
        <f>116632537/1000</f>
        <v>116632.537</v>
      </c>
      <c r="N206" s="145">
        <v>1</v>
      </c>
      <c r="O206" s="146" t="s">
        <v>110</v>
      </c>
      <c r="P206" s="159">
        <f>349800000/1000</f>
        <v>349800</v>
      </c>
      <c r="Q206" s="148">
        <f>350000000/1000</f>
        <v>350000</v>
      </c>
      <c r="R206" s="149">
        <f t="shared" si="2"/>
        <v>-200</v>
      </c>
      <c r="S206" s="150" t="s">
        <v>32</v>
      </c>
      <c r="T206" s="146" t="s">
        <v>110</v>
      </c>
      <c r="U206" s="150" t="s">
        <v>32</v>
      </c>
      <c r="V206" s="152" t="str">
        <f>'[2]data PPTK'!S171</f>
        <v>TITUS WELSI</v>
      </c>
      <c r="W206" s="153" t="str">
        <f>'[2]data PPTK'!T171</f>
        <v>UMUM</v>
      </c>
    </row>
    <row r="207" spans="1:39" s="97" customFormat="1" ht="15.6" customHeight="1" x14ac:dyDescent="0.25">
      <c r="A207" s="136"/>
      <c r="B207" s="137"/>
      <c r="C207" s="137"/>
      <c r="D207" s="137"/>
      <c r="E207" s="137"/>
      <c r="F207" s="165" t="str">
        <f>[1]Mei!$B$897</f>
        <v>Pengadaan Pakaian Dinas KDH dan WKDH</v>
      </c>
      <c r="G207" s="177" t="s">
        <v>222</v>
      </c>
      <c r="H207" s="140">
        <v>150</v>
      </c>
      <c r="I207" s="140"/>
      <c r="J207" s="140">
        <f>497000000/1000</f>
        <v>497000</v>
      </c>
      <c r="K207" s="158">
        <v>42</v>
      </c>
      <c r="L207" s="143" t="s">
        <v>223</v>
      </c>
      <c r="M207" s="158">
        <f>97229000/1000</f>
        <v>97229</v>
      </c>
      <c r="N207" s="145">
        <v>1</v>
      </c>
      <c r="O207" s="146" t="s">
        <v>110</v>
      </c>
      <c r="P207" s="159">
        <f>100000000/1000</f>
        <v>100000</v>
      </c>
      <c r="Q207" s="148">
        <f>100000000/1000</f>
        <v>100000</v>
      </c>
      <c r="R207" s="149">
        <f t="shared" si="2"/>
        <v>0</v>
      </c>
      <c r="S207" s="150" t="s">
        <v>32</v>
      </c>
      <c r="T207" s="146" t="s">
        <v>224</v>
      </c>
      <c r="U207" s="150" t="s">
        <v>32</v>
      </c>
      <c r="V207" s="152" t="str">
        <f>'[2]data PPTK'!S172</f>
        <v>TRI SANTOSO,S.STP</v>
      </c>
      <c r="W207" s="153" t="str">
        <f>'[2]data PPTK'!T172</f>
        <v>UMUM</v>
      </c>
    </row>
    <row r="208" spans="1:39" s="97" customFormat="1" ht="15.6" customHeight="1" x14ac:dyDescent="0.25">
      <c r="A208" s="136"/>
      <c r="B208" s="137"/>
      <c r="C208" s="137"/>
      <c r="D208" s="137"/>
      <c r="E208" s="137"/>
      <c r="F208" s="155" t="str">
        <f>[1]Mei!$B$900</f>
        <v>Pengadaan Barang Inventaris KDH dan WKDH</v>
      </c>
      <c r="G208" s="177" t="s">
        <v>225</v>
      </c>
      <c r="H208" s="140">
        <v>60</v>
      </c>
      <c r="I208" s="140"/>
      <c r="J208" s="140">
        <f>1419140279/1000</f>
        <v>1419140.2790000001</v>
      </c>
      <c r="K208" s="158">
        <v>1</v>
      </c>
      <c r="L208" s="143" t="s">
        <v>110</v>
      </c>
      <c r="M208" s="158">
        <f>230985300/1000</f>
        <v>230985.3</v>
      </c>
      <c r="N208" s="145">
        <v>1</v>
      </c>
      <c r="O208" s="146" t="s">
        <v>110</v>
      </c>
      <c r="P208" s="159">
        <f>205550000/1000</f>
        <v>205550</v>
      </c>
      <c r="Q208" s="148">
        <f>190000000/1000</f>
        <v>190000</v>
      </c>
      <c r="R208" s="149">
        <f t="shared" si="2"/>
        <v>15550</v>
      </c>
      <c r="S208" s="150" t="s">
        <v>32</v>
      </c>
      <c r="T208" s="146" t="s">
        <v>110</v>
      </c>
      <c r="U208" s="150" t="s">
        <v>32</v>
      </c>
      <c r="V208" s="152" t="str">
        <f>'[2]data PPTK'!S173</f>
        <v>TITUS WELSI</v>
      </c>
      <c r="W208" s="153" t="str">
        <f>'[2]data PPTK'!T173</f>
        <v>UMUM</v>
      </c>
    </row>
    <row r="209" spans="1:39" s="173" customFormat="1" ht="13.2" customHeight="1" x14ac:dyDescent="0.2">
      <c r="A209" s="168" t="s">
        <v>52</v>
      </c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70"/>
      <c r="W209" s="171"/>
      <c r="X209" s="172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  <c r="AM209" s="172"/>
    </row>
    <row r="210" spans="1:39" s="173" customFormat="1" ht="13.2" customHeight="1" x14ac:dyDescent="0.2">
      <c r="A210" s="168" t="s">
        <v>53</v>
      </c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70">
        <v>1</v>
      </c>
      <c r="W210" s="171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</row>
    <row r="211" spans="1:39" s="193" customFormat="1" ht="15.6" customHeight="1" x14ac:dyDescent="0.25">
      <c r="A211" s="84"/>
      <c r="B211" s="187"/>
      <c r="C211" s="187"/>
      <c r="D211" s="187"/>
      <c r="E211" s="187"/>
      <c r="F211" s="174" t="s">
        <v>226</v>
      </c>
      <c r="G211" s="183" t="s">
        <v>227</v>
      </c>
      <c r="H211" s="126">
        <v>100</v>
      </c>
      <c r="I211" s="126"/>
      <c r="J211" s="126">
        <f>SUM(J212:J213)</f>
        <v>673913.15</v>
      </c>
      <c r="K211" s="126">
        <v>0</v>
      </c>
      <c r="L211" s="128"/>
      <c r="M211" s="126">
        <f>SUM(M212:M213)</f>
        <v>64612</v>
      </c>
      <c r="N211" s="129">
        <v>100</v>
      </c>
      <c r="O211" s="188"/>
      <c r="P211" s="126">
        <f>SUM(P212:P213)</f>
        <v>100000</v>
      </c>
      <c r="Q211" s="126">
        <f>SUM(Q212:Q213)</f>
        <v>50000</v>
      </c>
      <c r="R211" s="189">
        <f t="shared" si="2"/>
        <v>50000</v>
      </c>
      <c r="S211" s="129"/>
      <c r="T211" s="190"/>
      <c r="U211" s="176">
        <f>SUM(U212:U213)</f>
        <v>0</v>
      </c>
      <c r="V211" s="191"/>
      <c r="W211" s="192"/>
    </row>
    <row r="212" spans="1:39" s="216" customFormat="1" ht="15.6" customHeight="1" x14ac:dyDescent="0.25">
      <c r="A212" s="203"/>
      <c r="B212" s="204"/>
      <c r="C212" s="204"/>
      <c r="D212" s="204"/>
      <c r="E212" s="204"/>
      <c r="F212" s="205" t="str">
        <f>[1]Mei!$B$910</f>
        <v>Pengad. Buku Saku Pemerintah Desa / Kelurahan</v>
      </c>
      <c r="G212" s="206" t="s">
        <v>228</v>
      </c>
      <c r="H212" s="207">
        <v>350</v>
      </c>
      <c r="I212" s="207"/>
      <c r="J212" s="207">
        <f>273913150/1000</f>
        <v>273913.15000000002</v>
      </c>
      <c r="K212" s="207">
        <v>90</v>
      </c>
      <c r="L212" s="223" t="s">
        <v>229</v>
      </c>
      <c r="M212" s="207">
        <f>48972000/1000</f>
        <v>48972</v>
      </c>
      <c r="N212" s="209">
        <v>90</v>
      </c>
      <c r="O212" s="208" t="s">
        <v>230</v>
      </c>
      <c r="P212" s="207">
        <f>50000000/1000</f>
        <v>50000</v>
      </c>
      <c r="Q212" s="211"/>
      <c r="R212" s="212">
        <f t="shared" si="2"/>
        <v>50000</v>
      </c>
      <c r="S212" s="209"/>
      <c r="T212" s="226"/>
      <c r="U212" s="213"/>
      <c r="V212" s="214"/>
      <c r="W212" s="215"/>
    </row>
    <row r="213" spans="1:39" s="97" customFormat="1" ht="15.6" customHeight="1" x14ac:dyDescent="0.25">
      <c r="A213" s="136"/>
      <c r="B213" s="137"/>
      <c r="C213" s="137"/>
      <c r="D213" s="137"/>
      <c r="E213" s="137"/>
      <c r="F213" s="155" t="str">
        <f>[1]Mei!$B$913</f>
        <v>Pemantauan Penyelengg. Adm. Terpadu Kecamatan (PATEN)</v>
      </c>
      <c r="G213" s="177" t="s">
        <v>231</v>
      </c>
      <c r="H213" s="140">
        <v>4</v>
      </c>
      <c r="I213" s="140"/>
      <c r="J213" s="140">
        <f>400000000/1000</f>
        <v>400000</v>
      </c>
      <c r="K213" s="158">
        <v>1</v>
      </c>
      <c r="L213" s="143" t="s">
        <v>98</v>
      </c>
      <c r="M213" s="158">
        <f>15640000/1000</f>
        <v>15640</v>
      </c>
      <c r="N213" s="145">
        <v>1</v>
      </c>
      <c r="O213" s="146" t="s">
        <v>98</v>
      </c>
      <c r="P213" s="159">
        <f>50000000/1000</f>
        <v>50000</v>
      </c>
      <c r="Q213" s="148">
        <f>50000000/1000</f>
        <v>50000</v>
      </c>
      <c r="R213" s="149">
        <f t="shared" si="2"/>
        <v>0</v>
      </c>
      <c r="S213" s="150" t="s">
        <v>32</v>
      </c>
      <c r="T213" s="146" t="s">
        <v>98</v>
      </c>
      <c r="U213" s="150" t="s">
        <v>32</v>
      </c>
      <c r="V213" s="152" t="str">
        <f>'[2]data PPTK'!S176</f>
        <v>HARSONO, S.IP</v>
      </c>
      <c r="W213" s="153" t="str">
        <f>'[2]data PPTK'!T176</f>
        <v>PEMERINTAHAN</v>
      </c>
    </row>
    <row r="214" spans="1:39" s="173" customFormat="1" ht="13.2" customHeight="1" x14ac:dyDescent="0.2">
      <c r="A214" s="168" t="s">
        <v>52</v>
      </c>
      <c r="B214" s="169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70"/>
      <c r="W214" s="171"/>
      <c r="X214" s="172"/>
      <c r="Y214" s="172"/>
      <c r="Z214" s="172"/>
      <c r="AA214" s="172"/>
      <c r="AB214" s="172"/>
      <c r="AC214" s="172"/>
      <c r="AD214" s="172"/>
      <c r="AE214" s="172"/>
      <c r="AF214" s="172"/>
      <c r="AG214" s="172"/>
      <c r="AH214" s="172"/>
      <c r="AI214" s="172"/>
      <c r="AJ214" s="172"/>
      <c r="AK214" s="172"/>
      <c r="AL214" s="172"/>
      <c r="AM214" s="172"/>
    </row>
    <row r="215" spans="1:39" s="173" customFormat="1" ht="13.2" customHeight="1" x14ac:dyDescent="0.2">
      <c r="A215" s="168" t="s">
        <v>53</v>
      </c>
      <c r="B215" s="169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70">
        <v>1</v>
      </c>
      <c r="W215" s="171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</row>
    <row r="216" spans="1:39" s="193" customFormat="1" ht="15.6" customHeight="1" x14ac:dyDescent="0.25">
      <c r="A216" s="84"/>
      <c r="B216" s="187"/>
      <c r="C216" s="187"/>
      <c r="D216" s="187"/>
      <c r="E216" s="187"/>
      <c r="F216" s="174" t="s">
        <v>232</v>
      </c>
      <c r="G216" s="183" t="s">
        <v>233</v>
      </c>
      <c r="H216" s="126"/>
      <c r="I216" s="126"/>
      <c r="J216" s="126">
        <f>SUM(J217:J220)</f>
        <v>1207030.25</v>
      </c>
      <c r="K216" s="126">
        <v>0</v>
      </c>
      <c r="L216" s="128"/>
      <c r="M216" s="126">
        <f>SUM(M217:M220)</f>
        <v>379467.11099999998</v>
      </c>
      <c r="N216" s="129">
        <v>100</v>
      </c>
      <c r="O216" s="188"/>
      <c r="P216" s="126">
        <f>SUM(P217:P220)</f>
        <v>434064.87100000004</v>
      </c>
      <c r="Q216" s="126">
        <f>SUM(Q217:Q220)</f>
        <v>739064.87100000004</v>
      </c>
      <c r="R216" s="189">
        <f t="shared" si="2"/>
        <v>-305000</v>
      </c>
      <c r="S216" s="129"/>
      <c r="T216" s="190"/>
      <c r="U216" s="176">
        <f>SUM(U217:U220)</f>
        <v>0</v>
      </c>
      <c r="V216" s="191"/>
      <c r="W216" s="192"/>
    </row>
    <row r="217" spans="1:39" s="97" customFormat="1" ht="15.6" customHeight="1" x14ac:dyDescent="0.25">
      <c r="A217" s="136"/>
      <c r="B217" s="137"/>
      <c r="C217" s="137"/>
      <c r="D217" s="137"/>
      <c r="E217" s="137"/>
      <c r="F217" s="155" t="str">
        <f>[1]Mei!$B$918</f>
        <v>Penyusunan Standar Pelayanan Minimal</v>
      </c>
      <c r="G217" s="177" t="s">
        <v>234</v>
      </c>
      <c r="H217" s="140">
        <v>5</v>
      </c>
      <c r="I217" s="140"/>
      <c r="J217" s="140">
        <f>917020750/1000</f>
        <v>917020.75</v>
      </c>
      <c r="K217" s="158">
        <v>1</v>
      </c>
      <c r="L217" s="143" t="s">
        <v>90</v>
      </c>
      <c r="M217" s="158">
        <f>71132640/1000</f>
        <v>71132.639999999999</v>
      </c>
      <c r="N217" s="145">
        <v>1</v>
      </c>
      <c r="O217" s="146" t="s">
        <v>90</v>
      </c>
      <c r="P217" s="159">
        <f>75000000/1000</f>
        <v>75000</v>
      </c>
      <c r="Q217" s="148">
        <f>200000000/1000</f>
        <v>200000</v>
      </c>
      <c r="R217" s="149">
        <f t="shared" si="2"/>
        <v>-125000</v>
      </c>
      <c r="S217" s="150" t="s">
        <v>32</v>
      </c>
      <c r="T217" s="146" t="s">
        <v>90</v>
      </c>
      <c r="U217" s="150" t="s">
        <v>32</v>
      </c>
      <c r="V217" s="152" t="str">
        <f>'[2]data PPTK'!S179</f>
        <v>ARITUA B.N,S.STP, M.Si</v>
      </c>
      <c r="W217" s="153" t="str">
        <f>'[2]data PPTK'!T179</f>
        <v>ORGANISASI</v>
      </c>
    </row>
    <row r="218" spans="1:39" s="161" customFormat="1" ht="15.6" customHeight="1" x14ac:dyDescent="0.25">
      <c r="A218" s="136"/>
      <c r="B218" s="137"/>
      <c r="C218" s="137"/>
      <c r="D218" s="137"/>
      <c r="E218" s="137"/>
      <c r="F218" s="179" t="str">
        <f>[1]Mei!$B$925</f>
        <v>Penyusunan Rencana Aksi Reformasi Birokrasi</v>
      </c>
      <c r="G218" s="180" t="s">
        <v>235</v>
      </c>
      <c r="H218" s="159">
        <v>2</v>
      </c>
      <c r="I218" s="159"/>
      <c r="J218" s="159">
        <f>290009500/1000</f>
        <v>290009.5</v>
      </c>
      <c r="K218" s="159">
        <v>1</v>
      </c>
      <c r="L218" s="143" t="s">
        <v>90</v>
      </c>
      <c r="M218" s="159">
        <f>69031600/1000</f>
        <v>69031.600000000006</v>
      </c>
      <c r="N218" s="145">
        <v>1</v>
      </c>
      <c r="O218" s="146" t="s">
        <v>90</v>
      </c>
      <c r="P218" s="159">
        <f>70000000/1000</f>
        <v>70000</v>
      </c>
      <c r="Q218" s="148">
        <f>200000000/1000</f>
        <v>200000</v>
      </c>
      <c r="R218" s="149">
        <f t="shared" si="2"/>
        <v>-130000</v>
      </c>
      <c r="S218" s="150" t="s">
        <v>32</v>
      </c>
      <c r="T218" s="146" t="s">
        <v>90</v>
      </c>
      <c r="U218" s="150" t="s">
        <v>32</v>
      </c>
      <c r="V218" s="152" t="str">
        <f>'[2]data PPTK'!S180</f>
        <v>ARITUA B.N,S.STP, M.Si</v>
      </c>
      <c r="W218" s="153" t="str">
        <f>'[2]data PPTK'!T180</f>
        <v>ORGANISASI</v>
      </c>
    </row>
    <row r="219" spans="1:39" s="97" customFormat="1" ht="15.6" customHeight="1" x14ac:dyDescent="0.25">
      <c r="A219" s="136"/>
      <c r="B219" s="137"/>
      <c r="C219" s="137"/>
      <c r="D219" s="137"/>
      <c r="E219" s="137"/>
      <c r="F219" s="155" t="str">
        <f>[1]Mei!$B$932</f>
        <v>Penyusunan Survei Kepu asan Masyarakat (SKM)</v>
      </c>
      <c r="G219" s="199"/>
      <c r="H219" s="140">
        <v>0</v>
      </c>
      <c r="I219" s="140"/>
      <c r="J219" s="140">
        <v>0</v>
      </c>
      <c r="K219" s="158">
        <v>1</v>
      </c>
      <c r="L219" s="143" t="s">
        <v>90</v>
      </c>
      <c r="M219" s="158">
        <f>135023000/1000</f>
        <v>135023</v>
      </c>
      <c r="N219" s="145">
        <v>1</v>
      </c>
      <c r="O219" s="146" t="s">
        <v>90</v>
      </c>
      <c r="P219" s="159">
        <f>150000000/1000</f>
        <v>150000</v>
      </c>
      <c r="Q219" s="148">
        <f>200000000/1000</f>
        <v>200000</v>
      </c>
      <c r="R219" s="149">
        <f t="shared" si="2"/>
        <v>-50000</v>
      </c>
      <c r="S219" s="150" t="s">
        <v>32</v>
      </c>
      <c r="T219" s="146" t="s">
        <v>90</v>
      </c>
      <c r="U219" s="150" t="s">
        <v>32</v>
      </c>
      <c r="V219" s="152" t="str">
        <f>'[2]data PPTK'!S181</f>
        <v>ARITUA B.N,S.STP, M.Si</v>
      </c>
      <c r="W219" s="153" t="str">
        <f>'[2]data PPTK'!T181</f>
        <v>ORGANISASI</v>
      </c>
    </row>
    <row r="220" spans="1:39" s="97" customFormat="1" ht="15.6" customHeight="1" x14ac:dyDescent="0.25">
      <c r="A220" s="136"/>
      <c r="B220" s="137"/>
      <c r="C220" s="137"/>
      <c r="D220" s="137"/>
      <c r="E220" s="137"/>
      <c r="F220" s="155" t="str">
        <f>[1]Mei!$B$940</f>
        <v>Sosialisasi SKB 2 Menteri ( Menteri Agama&amp;Mendagri)</v>
      </c>
      <c r="G220" s="199"/>
      <c r="H220" s="140">
        <v>0</v>
      </c>
      <c r="I220" s="140"/>
      <c r="J220" s="140">
        <v>0</v>
      </c>
      <c r="K220" s="158">
        <v>0</v>
      </c>
      <c r="L220" s="143"/>
      <c r="M220" s="158">
        <f>104279871/1000</f>
        <v>104279.871</v>
      </c>
      <c r="N220" s="145">
        <v>1</v>
      </c>
      <c r="O220" s="146" t="s">
        <v>90</v>
      </c>
      <c r="P220" s="159">
        <f>139064871/1000</f>
        <v>139064.87100000001</v>
      </c>
      <c r="Q220" s="148">
        <f>139064871/1000</f>
        <v>139064.87100000001</v>
      </c>
      <c r="R220" s="149">
        <f t="shared" si="2"/>
        <v>0</v>
      </c>
      <c r="S220" s="150" t="s">
        <v>32</v>
      </c>
      <c r="T220" s="146" t="s">
        <v>90</v>
      </c>
      <c r="U220" s="150" t="s">
        <v>32</v>
      </c>
      <c r="V220" s="152" t="str">
        <f>'[2]data PPTK'!S182</f>
        <v>REDIMAN,S.STP</v>
      </c>
      <c r="W220" s="153" t="str">
        <f>'[2]data PPTK'!T182</f>
        <v>KESRA</v>
      </c>
    </row>
    <row r="221" spans="1:39" s="173" customFormat="1" ht="13.2" customHeight="1" x14ac:dyDescent="0.2">
      <c r="A221" s="168" t="s">
        <v>52</v>
      </c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70"/>
      <c r="W221" s="171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</row>
    <row r="222" spans="1:39" s="173" customFormat="1" ht="13.2" customHeight="1" x14ac:dyDescent="0.2">
      <c r="A222" s="168" t="s">
        <v>53</v>
      </c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70">
        <v>1</v>
      </c>
      <c r="W222" s="171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</row>
    <row r="223" spans="1:39" s="14" customFormat="1" x14ac:dyDescent="0.25">
      <c r="A223" s="229"/>
      <c r="B223" s="230"/>
      <c r="C223" s="230"/>
      <c r="D223" s="230"/>
      <c r="E223" s="230"/>
      <c r="F223" s="231"/>
      <c r="G223" s="232"/>
      <c r="H223" s="233"/>
      <c r="I223" s="230"/>
      <c r="J223" s="231"/>
      <c r="K223" s="231"/>
      <c r="L223" s="231"/>
      <c r="M223" s="231"/>
      <c r="N223" s="230"/>
      <c r="O223" s="230"/>
      <c r="P223" s="234"/>
      <c r="Q223" s="235"/>
      <c r="R223" s="231"/>
      <c r="S223" s="231"/>
      <c r="T223" s="230"/>
      <c r="U223" s="231"/>
      <c r="V223" s="12"/>
      <c r="W223" s="13"/>
    </row>
    <row r="224" spans="1:39" s="14" customFormat="1" x14ac:dyDescent="0.25">
      <c r="A224" s="229"/>
      <c r="B224" s="230"/>
      <c r="C224" s="230"/>
      <c r="D224" s="230"/>
      <c r="E224" s="230"/>
      <c r="F224" s="231"/>
      <c r="G224" s="232"/>
      <c r="H224" s="233"/>
      <c r="I224" s="230"/>
      <c r="J224" s="231"/>
      <c r="K224" s="231"/>
      <c r="L224" s="231"/>
      <c r="M224" s="231"/>
      <c r="N224" s="230"/>
      <c r="O224" s="230"/>
      <c r="P224" s="234"/>
      <c r="Q224" s="235"/>
      <c r="R224" s="231"/>
      <c r="S224" s="231"/>
      <c r="T224" s="230"/>
      <c r="U224" s="231"/>
      <c r="V224" s="12"/>
      <c r="W224" s="13"/>
    </row>
    <row r="225" spans="1:23" s="14" customFormat="1" x14ac:dyDescent="0.25">
      <c r="A225" s="229"/>
      <c r="B225" s="230"/>
      <c r="C225" s="230"/>
      <c r="D225" s="230"/>
      <c r="E225" s="230"/>
      <c r="F225" s="231"/>
      <c r="G225" s="232"/>
      <c r="H225" s="233"/>
      <c r="I225" s="230"/>
      <c r="J225" s="231"/>
      <c r="K225" s="231"/>
      <c r="L225" s="231"/>
      <c r="M225" s="231"/>
      <c r="N225" s="230"/>
      <c r="O225" s="230"/>
      <c r="P225" s="234"/>
      <c r="Q225" s="235"/>
      <c r="R225" s="231"/>
      <c r="S225" s="231"/>
      <c r="T225" s="230"/>
      <c r="U225" s="231"/>
      <c r="V225" s="12"/>
      <c r="W225" s="13"/>
    </row>
    <row r="226" spans="1:23" s="14" customFormat="1" x14ac:dyDescent="0.25">
      <c r="A226" s="229"/>
      <c r="B226" s="230"/>
      <c r="C226" s="230"/>
      <c r="D226" s="230"/>
      <c r="E226" s="230"/>
      <c r="F226" s="231"/>
      <c r="G226" s="232"/>
      <c r="H226" s="233"/>
      <c r="I226" s="230"/>
      <c r="J226" s="231"/>
      <c r="K226" s="231"/>
      <c r="L226" s="231"/>
      <c r="M226" s="231"/>
      <c r="N226" s="230"/>
      <c r="O226" s="230"/>
      <c r="P226" s="234"/>
      <c r="Q226" s="235"/>
      <c r="R226" s="231"/>
      <c r="S226" s="231"/>
      <c r="T226" s="230"/>
      <c r="U226" s="231"/>
      <c r="V226" s="12"/>
      <c r="W226" s="13"/>
    </row>
    <row r="227" spans="1:23" s="14" customFormat="1" x14ac:dyDescent="0.25">
      <c r="A227" s="229"/>
      <c r="B227" s="230"/>
      <c r="C227" s="230"/>
      <c r="D227" s="230"/>
      <c r="E227" s="230"/>
      <c r="F227" s="231"/>
      <c r="G227" s="232"/>
      <c r="H227" s="233"/>
      <c r="I227" s="230"/>
      <c r="J227" s="231"/>
      <c r="K227" s="231"/>
      <c r="L227" s="231"/>
      <c r="M227" s="231"/>
      <c r="N227" s="230"/>
      <c r="O227" s="230"/>
      <c r="P227" s="234"/>
      <c r="Q227" s="235"/>
      <c r="R227" s="231"/>
      <c r="S227" s="231"/>
      <c r="T227" s="230"/>
      <c r="U227" s="231"/>
      <c r="V227" s="12"/>
      <c r="W227" s="13"/>
    </row>
    <row r="228" spans="1:23" s="14" customFormat="1" x14ac:dyDescent="0.25">
      <c r="A228" s="229"/>
      <c r="B228" s="230"/>
      <c r="C228" s="230"/>
      <c r="D228" s="230"/>
      <c r="E228" s="230"/>
      <c r="F228" s="231"/>
      <c r="G228" s="232"/>
      <c r="H228" s="233"/>
      <c r="I228" s="230"/>
      <c r="J228" s="231"/>
      <c r="K228" s="231"/>
      <c r="L228" s="231"/>
      <c r="M228" s="231"/>
      <c r="N228" s="230"/>
      <c r="O228" s="230"/>
      <c r="P228" s="234"/>
      <c r="Q228" s="235"/>
      <c r="R228" s="231"/>
      <c r="S228" s="231"/>
      <c r="T228" s="230"/>
      <c r="U228" s="231"/>
      <c r="V228" s="12"/>
      <c r="W228" s="13"/>
    </row>
    <row r="229" spans="1:23" s="14" customFormat="1" x14ac:dyDescent="0.25">
      <c r="A229" s="229"/>
      <c r="B229" s="230"/>
      <c r="C229" s="230"/>
      <c r="D229" s="230"/>
      <c r="E229" s="230"/>
      <c r="F229" s="231"/>
      <c r="G229" s="232"/>
      <c r="H229" s="233"/>
      <c r="I229" s="230"/>
      <c r="J229" s="231"/>
      <c r="K229" s="231"/>
      <c r="L229" s="231"/>
      <c r="M229" s="231"/>
      <c r="N229" s="230"/>
      <c r="O229" s="230"/>
      <c r="P229" s="234"/>
      <c r="Q229" s="235"/>
      <c r="R229" s="231"/>
      <c r="S229" s="231"/>
      <c r="T229" s="230"/>
      <c r="U229" s="231"/>
      <c r="V229" s="12"/>
      <c r="W229" s="13"/>
    </row>
    <row r="230" spans="1:23" s="14" customFormat="1" x14ac:dyDescent="0.25">
      <c r="A230" s="229"/>
      <c r="B230" s="230"/>
      <c r="C230" s="230"/>
      <c r="D230" s="230"/>
      <c r="E230" s="230"/>
      <c r="F230" s="231"/>
      <c r="G230" s="232"/>
      <c r="H230" s="233"/>
      <c r="I230" s="230"/>
      <c r="J230" s="231"/>
      <c r="K230" s="231"/>
      <c r="L230" s="231"/>
      <c r="M230" s="231"/>
      <c r="N230" s="230"/>
      <c r="O230" s="230"/>
      <c r="P230" s="234"/>
      <c r="Q230" s="235"/>
      <c r="R230" s="231"/>
      <c r="S230" s="231"/>
      <c r="T230" s="230"/>
      <c r="U230" s="231"/>
      <c r="V230" s="12"/>
      <c r="W230" s="13"/>
    </row>
    <row r="231" spans="1:23" s="14" customFormat="1" x14ac:dyDescent="0.25">
      <c r="A231" s="229"/>
      <c r="B231" s="230"/>
      <c r="C231" s="230"/>
      <c r="D231" s="230"/>
      <c r="E231" s="230"/>
      <c r="F231" s="231"/>
      <c r="G231" s="232"/>
      <c r="H231" s="233"/>
      <c r="I231" s="230"/>
      <c r="J231" s="231"/>
      <c r="K231" s="231"/>
      <c r="L231" s="231"/>
      <c r="M231" s="231"/>
      <c r="N231" s="230"/>
      <c r="O231" s="230"/>
      <c r="P231" s="234"/>
      <c r="Q231" s="235"/>
      <c r="R231" s="231"/>
      <c r="S231" s="231"/>
      <c r="T231" s="230"/>
      <c r="U231" s="231"/>
      <c r="V231" s="12"/>
      <c r="W231" s="13"/>
    </row>
    <row r="232" spans="1:23" s="14" customFormat="1" x14ac:dyDescent="0.25">
      <c r="A232" s="229"/>
      <c r="B232" s="230"/>
      <c r="C232" s="230"/>
      <c r="D232" s="230"/>
      <c r="E232" s="230"/>
      <c r="F232" s="231"/>
      <c r="G232" s="232"/>
      <c r="H232" s="233"/>
      <c r="I232" s="230"/>
      <c r="J232" s="231"/>
      <c r="K232" s="231"/>
      <c r="L232" s="231"/>
      <c r="M232" s="231"/>
      <c r="N232" s="230"/>
      <c r="O232" s="230"/>
      <c r="P232" s="234"/>
      <c r="Q232" s="235"/>
      <c r="R232" s="231"/>
      <c r="S232" s="231"/>
      <c r="T232" s="230"/>
      <c r="U232" s="231"/>
      <c r="V232" s="12"/>
      <c r="W232" s="13"/>
    </row>
    <row r="233" spans="1:23" s="14" customFormat="1" x14ac:dyDescent="0.25">
      <c r="A233" s="229"/>
      <c r="B233" s="230"/>
      <c r="C233" s="230"/>
      <c r="D233" s="230"/>
      <c r="E233" s="230"/>
      <c r="F233" s="231"/>
      <c r="G233" s="232"/>
      <c r="H233" s="233"/>
      <c r="I233" s="230"/>
      <c r="J233" s="231"/>
      <c r="K233" s="231"/>
      <c r="L233" s="231"/>
      <c r="M233" s="231"/>
      <c r="N233" s="230"/>
      <c r="O233" s="230"/>
      <c r="P233" s="234"/>
      <c r="Q233" s="235"/>
      <c r="R233" s="231"/>
      <c r="S233" s="231"/>
      <c r="T233" s="230"/>
      <c r="U233" s="231"/>
      <c r="V233" s="12"/>
      <c r="W233" s="13"/>
    </row>
    <row r="234" spans="1:23" s="14" customFormat="1" x14ac:dyDescent="0.25">
      <c r="A234" s="229"/>
      <c r="B234" s="230"/>
      <c r="C234" s="230"/>
      <c r="D234" s="230"/>
      <c r="E234" s="230"/>
      <c r="F234" s="231"/>
      <c r="G234" s="232"/>
      <c r="H234" s="233"/>
      <c r="I234" s="230"/>
      <c r="J234" s="231"/>
      <c r="K234" s="231"/>
      <c r="L234" s="231"/>
      <c r="M234" s="231"/>
      <c r="N234" s="230"/>
      <c r="O234" s="230"/>
      <c r="P234" s="234"/>
      <c r="Q234" s="235"/>
      <c r="R234" s="231"/>
      <c r="S234" s="231"/>
      <c r="T234" s="230"/>
      <c r="U234" s="231"/>
      <c r="V234" s="12"/>
      <c r="W234" s="13"/>
    </row>
    <row r="235" spans="1:23" s="14" customFormat="1" x14ac:dyDescent="0.25">
      <c r="A235" s="229"/>
      <c r="B235" s="230"/>
      <c r="C235" s="230"/>
      <c r="D235" s="230"/>
      <c r="E235" s="230"/>
      <c r="F235" s="231"/>
      <c r="G235" s="232"/>
      <c r="H235" s="233"/>
      <c r="I235" s="230"/>
      <c r="J235" s="231"/>
      <c r="K235" s="231"/>
      <c r="L235" s="231"/>
      <c r="M235" s="231"/>
      <c r="N235" s="230"/>
      <c r="O235" s="230"/>
      <c r="P235" s="234"/>
      <c r="Q235" s="235"/>
      <c r="R235" s="231"/>
      <c r="S235" s="231"/>
      <c r="T235" s="230"/>
      <c r="U235" s="231"/>
      <c r="V235" s="12"/>
      <c r="W235" s="13"/>
    </row>
    <row r="236" spans="1:23" s="14" customFormat="1" x14ac:dyDescent="0.25">
      <c r="A236" s="229"/>
      <c r="B236" s="230"/>
      <c r="C236" s="230"/>
      <c r="D236" s="230"/>
      <c r="E236" s="230"/>
      <c r="F236" s="231"/>
      <c r="G236" s="232"/>
      <c r="H236" s="233"/>
      <c r="I236" s="230"/>
      <c r="J236" s="231"/>
      <c r="K236" s="231"/>
      <c r="L236" s="231"/>
      <c r="M236" s="231"/>
      <c r="N236" s="230"/>
      <c r="O236" s="230"/>
      <c r="P236" s="234"/>
      <c r="Q236" s="235"/>
      <c r="R236" s="231"/>
      <c r="S236" s="231"/>
      <c r="T236" s="230"/>
      <c r="U236" s="231"/>
      <c r="V236" s="12"/>
      <c r="W236" s="13"/>
    </row>
    <row r="237" spans="1:23" s="14" customFormat="1" x14ac:dyDescent="0.25">
      <c r="A237" s="229"/>
      <c r="B237" s="230"/>
      <c r="C237" s="230"/>
      <c r="D237" s="230"/>
      <c r="E237" s="230"/>
      <c r="F237" s="231"/>
      <c r="G237" s="232"/>
      <c r="H237" s="233"/>
      <c r="I237" s="230"/>
      <c r="J237" s="231"/>
      <c r="K237" s="231"/>
      <c r="L237" s="231"/>
      <c r="M237" s="231"/>
      <c r="N237" s="230"/>
      <c r="O237" s="230"/>
      <c r="P237" s="234"/>
      <c r="Q237" s="235"/>
      <c r="R237" s="231"/>
      <c r="S237" s="231"/>
      <c r="T237" s="230"/>
      <c r="U237" s="231"/>
      <c r="V237" s="12"/>
      <c r="W237" s="13"/>
    </row>
    <row r="238" spans="1:23" s="14" customFormat="1" x14ac:dyDescent="0.25">
      <c r="A238" s="229"/>
      <c r="B238" s="230"/>
      <c r="C238" s="230"/>
      <c r="D238" s="230"/>
      <c r="E238" s="230"/>
      <c r="F238" s="231"/>
      <c r="G238" s="232"/>
      <c r="H238" s="233"/>
      <c r="I238" s="230"/>
      <c r="J238" s="231"/>
      <c r="K238" s="231"/>
      <c r="L238" s="231"/>
      <c r="M238" s="231"/>
      <c r="N238" s="230"/>
      <c r="O238" s="230"/>
      <c r="P238" s="234"/>
      <c r="Q238" s="235"/>
      <c r="R238" s="231"/>
      <c r="S238" s="231"/>
      <c r="T238" s="230"/>
      <c r="U238" s="231"/>
      <c r="V238" s="12"/>
      <c r="W238" s="13"/>
    </row>
    <row r="239" spans="1:23" s="14" customFormat="1" x14ac:dyDescent="0.25">
      <c r="A239" s="229"/>
      <c r="B239" s="230"/>
      <c r="C239" s="230"/>
      <c r="D239" s="230"/>
      <c r="E239" s="230"/>
      <c r="F239" s="231"/>
      <c r="G239" s="232"/>
      <c r="H239" s="233"/>
      <c r="I239" s="230"/>
      <c r="J239" s="231"/>
      <c r="K239" s="231"/>
      <c r="L239" s="231"/>
      <c r="M239" s="231"/>
      <c r="N239" s="230"/>
      <c r="O239" s="230"/>
      <c r="P239" s="234"/>
      <c r="Q239" s="235"/>
      <c r="R239" s="231"/>
      <c r="S239" s="231"/>
      <c r="T239" s="230"/>
      <c r="U239" s="231"/>
      <c r="V239" s="12"/>
      <c r="W239" s="13"/>
    </row>
    <row r="240" spans="1:23" s="14" customFormat="1" x14ac:dyDescent="0.25">
      <c r="A240" s="229"/>
      <c r="B240" s="230"/>
      <c r="C240" s="230"/>
      <c r="D240" s="230"/>
      <c r="E240" s="230"/>
      <c r="F240" s="231"/>
      <c r="G240" s="232"/>
      <c r="H240" s="233"/>
      <c r="I240" s="230"/>
      <c r="J240" s="231"/>
      <c r="K240" s="231"/>
      <c r="L240" s="231"/>
      <c r="M240" s="231"/>
      <c r="N240" s="230"/>
      <c r="O240" s="230"/>
      <c r="P240" s="234"/>
      <c r="Q240" s="235"/>
      <c r="R240" s="231"/>
      <c r="S240" s="231"/>
      <c r="T240" s="230"/>
      <c r="U240" s="231"/>
      <c r="V240" s="12"/>
      <c r="W240" s="13"/>
    </row>
    <row r="241" spans="1:23" s="14" customFormat="1" x14ac:dyDescent="0.25">
      <c r="A241" s="229"/>
      <c r="B241" s="230"/>
      <c r="C241" s="230"/>
      <c r="D241" s="230"/>
      <c r="E241" s="230"/>
      <c r="F241" s="231"/>
      <c r="G241" s="232"/>
      <c r="H241" s="233"/>
      <c r="I241" s="230"/>
      <c r="J241" s="231"/>
      <c r="K241" s="231"/>
      <c r="L241" s="231"/>
      <c r="M241" s="231"/>
      <c r="N241" s="230"/>
      <c r="O241" s="230"/>
      <c r="P241" s="234"/>
      <c r="Q241" s="235"/>
      <c r="R241" s="231"/>
      <c r="S241" s="231"/>
      <c r="T241" s="230"/>
      <c r="U241" s="231"/>
      <c r="V241" s="12"/>
      <c r="W241" s="13"/>
    </row>
    <row r="242" spans="1:23" s="14" customFormat="1" x14ac:dyDescent="0.25">
      <c r="A242" s="229"/>
      <c r="B242" s="230"/>
      <c r="C242" s="230"/>
      <c r="D242" s="230"/>
      <c r="E242" s="230"/>
      <c r="F242" s="231"/>
      <c r="G242" s="232"/>
      <c r="H242" s="233"/>
      <c r="I242" s="230"/>
      <c r="J242" s="231"/>
      <c r="K242" s="231"/>
      <c r="L242" s="231"/>
      <c r="M242" s="231"/>
      <c r="N242" s="230"/>
      <c r="O242" s="230"/>
      <c r="P242" s="234"/>
      <c r="Q242" s="235"/>
      <c r="R242" s="231"/>
      <c r="S242" s="231"/>
      <c r="T242" s="230"/>
      <c r="U242" s="231"/>
      <c r="V242" s="12"/>
      <c r="W242" s="13"/>
    </row>
    <row r="243" spans="1:23" s="14" customFormat="1" x14ac:dyDescent="0.25">
      <c r="A243" s="229"/>
      <c r="B243" s="230"/>
      <c r="C243" s="230"/>
      <c r="D243" s="230"/>
      <c r="E243" s="230"/>
      <c r="F243" s="231"/>
      <c r="G243" s="232"/>
      <c r="H243" s="233"/>
      <c r="I243" s="230"/>
      <c r="J243" s="231"/>
      <c r="K243" s="231"/>
      <c r="L243" s="231"/>
      <c r="M243" s="231"/>
      <c r="N243" s="230"/>
      <c r="O243" s="230"/>
      <c r="P243" s="234"/>
      <c r="Q243" s="235"/>
      <c r="R243" s="231"/>
      <c r="S243" s="231"/>
      <c r="T243" s="230"/>
      <c r="U243" s="231"/>
      <c r="V243" s="12"/>
      <c r="W243" s="13"/>
    </row>
    <row r="244" spans="1:23" s="14" customFormat="1" x14ac:dyDescent="0.25">
      <c r="A244" s="229"/>
      <c r="B244" s="230"/>
      <c r="C244" s="230"/>
      <c r="D244" s="230"/>
      <c r="E244" s="230"/>
      <c r="F244" s="231"/>
      <c r="G244" s="232"/>
      <c r="H244" s="233"/>
      <c r="I244" s="230"/>
      <c r="J244" s="231"/>
      <c r="K244" s="231"/>
      <c r="L244" s="231"/>
      <c r="M244" s="231"/>
      <c r="N244" s="230"/>
      <c r="O244" s="230"/>
      <c r="P244" s="234"/>
      <c r="Q244" s="235"/>
      <c r="R244" s="231"/>
      <c r="S244" s="231"/>
      <c r="T244" s="230"/>
      <c r="U244" s="231"/>
      <c r="V244" s="12"/>
      <c r="W244" s="13"/>
    </row>
    <row r="245" spans="1:23" s="14" customFormat="1" x14ac:dyDescent="0.25">
      <c r="A245" s="229"/>
      <c r="B245" s="230"/>
      <c r="C245" s="230"/>
      <c r="D245" s="230"/>
      <c r="E245" s="230"/>
      <c r="F245" s="231"/>
      <c r="G245" s="232"/>
      <c r="H245" s="233"/>
      <c r="I245" s="230"/>
      <c r="J245" s="231"/>
      <c r="K245" s="231"/>
      <c r="L245" s="231"/>
      <c r="M245" s="231"/>
      <c r="N245" s="230"/>
      <c r="O245" s="230"/>
      <c r="P245" s="234"/>
      <c r="Q245" s="235"/>
      <c r="R245" s="231"/>
      <c r="S245" s="231"/>
      <c r="T245" s="230"/>
      <c r="U245" s="231"/>
      <c r="V245" s="12"/>
      <c r="W245" s="13"/>
    </row>
    <row r="246" spans="1:23" s="14" customFormat="1" x14ac:dyDescent="0.25">
      <c r="A246" s="229"/>
      <c r="B246" s="230"/>
      <c r="C246" s="230"/>
      <c r="D246" s="230"/>
      <c r="E246" s="230"/>
      <c r="F246" s="231"/>
      <c r="G246" s="232"/>
      <c r="H246" s="233"/>
      <c r="I246" s="230"/>
      <c r="J246" s="231"/>
      <c r="K246" s="231"/>
      <c r="L246" s="231"/>
      <c r="M246" s="231"/>
      <c r="N246" s="230"/>
      <c r="O246" s="230"/>
      <c r="P246" s="234"/>
      <c r="Q246" s="235"/>
      <c r="R246" s="231"/>
      <c r="S246" s="231"/>
      <c r="T246" s="230"/>
      <c r="U246" s="231"/>
      <c r="V246" s="12"/>
      <c r="W246" s="13"/>
    </row>
    <row r="247" spans="1:23" s="14" customFormat="1" x14ac:dyDescent="0.25">
      <c r="A247" s="229"/>
      <c r="B247" s="230"/>
      <c r="C247" s="230"/>
      <c r="D247" s="230"/>
      <c r="E247" s="230"/>
      <c r="F247" s="231"/>
      <c r="G247" s="232"/>
      <c r="H247" s="233"/>
      <c r="I247" s="230"/>
      <c r="J247" s="231"/>
      <c r="K247" s="231"/>
      <c r="L247" s="231"/>
      <c r="M247" s="231"/>
      <c r="N247" s="230"/>
      <c r="O247" s="230"/>
      <c r="P247" s="234"/>
      <c r="Q247" s="235"/>
      <c r="R247" s="231"/>
      <c r="S247" s="231"/>
      <c r="T247" s="230"/>
      <c r="U247" s="231"/>
      <c r="V247" s="12"/>
      <c r="W247" s="13"/>
    </row>
    <row r="248" spans="1:23" s="14" customFormat="1" x14ac:dyDescent="0.25">
      <c r="A248" s="229"/>
      <c r="B248" s="230"/>
      <c r="C248" s="230"/>
      <c r="D248" s="230"/>
      <c r="E248" s="230"/>
      <c r="F248" s="231"/>
      <c r="G248" s="232"/>
      <c r="H248" s="233"/>
      <c r="I248" s="230"/>
      <c r="J248" s="231"/>
      <c r="K248" s="231"/>
      <c r="L248" s="231"/>
      <c r="M248" s="231"/>
      <c r="N248" s="230"/>
      <c r="O248" s="230"/>
      <c r="P248" s="234"/>
      <c r="Q248" s="235"/>
      <c r="R248" s="231"/>
      <c r="S248" s="231"/>
      <c r="T248" s="230"/>
      <c r="U248" s="231"/>
      <c r="V248" s="12"/>
      <c r="W248" s="13"/>
    </row>
    <row r="249" spans="1:23" s="14" customFormat="1" x14ac:dyDescent="0.25">
      <c r="A249" s="229"/>
      <c r="B249" s="230"/>
      <c r="C249" s="230"/>
      <c r="D249" s="230"/>
      <c r="E249" s="230"/>
      <c r="F249" s="231"/>
      <c r="G249" s="232"/>
      <c r="H249" s="233"/>
      <c r="I249" s="230"/>
      <c r="J249" s="231"/>
      <c r="K249" s="231"/>
      <c r="L249" s="231"/>
      <c r="M249" s="231"/>
      <c r="N249" s="230"/>
      <c r="O249" s="230"/>
      <c r="P249" s="234"/>
      <c r="Q249" s="235"/>
      <c r="R249" s="231"/>
      <c r="S249" s="231"/>
      <c r="T249" s="230"/>
      <c r="U249" s="231"/>
      <c r="V249" s="12"/>
      <c r="W249" s="13"/>
    </row>
    <row r="250" spans="1:23" s="14" customFormat="1" x14ac:dyDescent="0.25">
      <c r="A250" s="229"/>
      <c r="B250" s="230"/>
      <c r="C250" s="230"/>
      <c r="D250" s="230"/>
      <c r="E250" s="230"/>
      <c r="F250" s="231"/>
      <c r="G250" s="232"/>
      <c r="H250" s="233"/>
      <c r="I250" s="230"/>
      <c r="J250" s="231"/>
      <c r="K250" s="231"/>
      <c r="L250" s="231"/>
      <c r="M250" s="231"/>
      <c r="N250" s="230"/>
      <c r="O250" s="230"/>
      <c r="P250" s="234"/>
      <c r="Q250" s="235"/>
      <c r="R250" s="231"/>
      <c r="S250" s="231"/>
      <c r="T250" s="230"/>
      <c r="U250" s="231"/>
      <c r="V250" s="12"/>
      <c r="W250" s="13"/>
    </row>
    <row r="251" spans="1:23" s="14" customFormat="1" x14ac:dyDescent="0.25">
      <c r="A251" s="229"/>
      <c r="B251" s="230"/>
      <c r="C251" s="230"/>
      <c r="D251" s="230"/>
      <c r="E251" s="230"/>
      <c r="F251" s="231"/>
      <c r="G251" s="232"/>
      <c r="H251" s="233"/>
      <c r="I251" s="230"/>
      <c r="J251" s="231"/>
      <c r="K251" s="231"/>
      <c r="L251" s="231"/>
      <c r="M251" s="231"/>
      <c r="N251" s="230"/>
      <c r="O251" s="230"/>
      <c r="P251" s="234"/>
      <c r="Q251" s="235"/>
      <c r="R251" s="231"/>
      <c r="S251" s="231"/>
      <c r="T251" s="230"/>
      <c r="U251" s="231"/>
      <c r="V251" s="12"/>
      <c r="W251" s="13"/>
    </row>
    <row r="252" spans="1:23" s="14" customFormat="1" x14ac:dyDescent="0.25">
      <c r="A252" s="229"/>
      <c r="B252" s="230"/>
      <c r="C252" s="230"/>
      <c r="D252" s="230"/>
      <c r="E252" s="230"/>
      <c r="F252" s="231"/>
      <c r="G252" s="232"/>
      <c r="H252" s="233"/>
      <c r="I252" s="230"/>
      <c r="J252" s="231"/>
      <c r="K252" s="231"/>
      <c r="L252" s="231"/>
      <c r="M252" s="231"/>
      <c r="N252" s="230"/>
      <c r="O252" s="230"/>
      <c r="P252" s="234"/>
      <c r="Q252" s="235"/>
      <c r="R252" s="231"/>
      <c r="S252" s="231"/>
      <c r="T252" s="230"/>
      <c r="U252" s="231"/>
      <c r="V252" s="12"/>
      <c r="W252" s="13"/>
    </row>
    <row r="253" spans="1:23" s="14" customFormat="1" x14ac:dyDescent="0.25">
      <c r="A253" s="229"/>
      <c r="B253" s="230"/>
      <c r="C253" s="230"/>
      <c r="D253" s="230"/>
      <c r="E253" s="230"/>
      <c r="F253" s="231"/>
      <c r="G253" s="232"/>
      <c r="H253" s="233"/>
      <c r="I253" s="230"/>
      <c r="J253" s="231"/>
      <c r="K253" s="231"/>
      <c r="L253" s="231"/>
      <c r="M253" s="231"/>
      <c r="N253" s="230"/>
      <c r="O253" s="230"/>
      <c r="P253" s="234"/>
      <c r="Q253" s="235"/>
      <c r="R253" s="231"/>
      <c r="S253" s="231"/>
      <c r="T253" s="230"/>
      <c r="U253" s="231"/>
      <c r="V253" s="12"/>
      <c r="W253" s="13"/>
    </row>
    <row r="254" spans="1:23" s="14" customFormat="1" x14ac:dyDescent="0.25">
      <c r="A254" s="229"/>
      <c r="B254" s="230"/>
      <c r="C254" s="230"/>
      <c r="D254" s="230"/>
      <c r="E254" s="230"/>
      <c r="F254" s="231"/>
      <c r="G254" s="232"/>
      <c r="H254" s="233"/>
      <c r="I254" s="230"/>
      <c r="J254" s="231"/>
      <c r="K254" s="231"/>
      <c r="L254" s="231"/>
      <c r="M254" s="231"/>
      <c r="N254" s="230"/>
      <c r="O254" s="230"/>
      <c r="P254" s="234"/>
      <c r="Q254" s="235"/>
      <c r="R254" s="231"/>
      <c r="S254" s="231"/>
      <c r="T254" s="230"/>
      <c r="U254" s="231"/>
      <c r="V254" s="12"/>
      <c r="W254" s="13"/>
    </row>
    <row r="255" spans="1:23" s="14" customFormat="1" x14ac:dyDescent="0.25">
      <c r="A255" s="229"/>
      <c r="B255" s="230"/>
      <c r="C255" s="230"/>
      <c r="D255" s="230"/>
      <c r="E255" s="230"/>
      <c r="F255" s="231"/>
      <c r="G255" s="232"/>
      <c r="H255" s="233"/>
      <c r="I255" s="230"/>
      <c r="J255" s="231"/>
      <c r="K255" s="231"/>
      <c r="L255" s="231"/>
      <c r="M255" s="231"/>
      <c r="N255" s="230"/>
      <c r="O255" s="230"/>
      <c r="P255" s="234"/>
      <c r="Q255" s="235"/>
      <c r="R255" s="231"/>
      <c r="S255" s="231"/>
      <c r="T255" s="230"/>
      <c r="U255" s="231"/>
      <c r="V255" s="12"/>
      <c r="W255" s="13"/>
    </row>
    <row r="256" spans="1:23" s="14" customFormat="1" x14ac:dyDescent="0.25">
      <c r="A256" s="229"/>
      <c r="B256" s="230"/>
      <c r="C256" s="230"/>
      <c r="D256" s="230"/>
      <c r="E256" s="230"/>
      <c r="F256" s="231"/>
      <c r="G256" s="232"/>
      <c r="H256" s="233"/>
      <c r="I256" s="230"/>
      <c r="J256" s="231"/>
      <c r="K256" s="231"/>
      <c r="L256" s="231"/>
      <c r="M256" s="231"/>
      <c r="N256" s="230"/>
      <c r="O256" s="230"/>
      <c r="P256" s="234"/>
      <c r="Q256" s="235"/>
      <c r="R256" s="231"/>
      <c r="S256" s="231"/>
      <c r="T256" s="230"/>
      <c r="U256" s="231"/>
      <c r="V256" s="12"/>
      <c r="W256" s="13"/>
    </row>
    <row r="257" spans="1:23" s="14" customFormat="1" x14ac:dyDescent="0.25">
      <c r="A257" s="229"/>
      <c r="B257" s="230"/>
      <c r="C257" s="230"/>
      <c r="D257" s="230"/>
      <c r="E257" s="230"/>
      <c r="F257" s="231"/>
      <c r="G257" s="232"/>
      <c r="H257" s="233"/>
      <c r="I257" s="230"/>
      <c r="J257" s="231"/>
      <c r="K257" s="231"/>
      <c r="L257" s="231"/>
      <c r="M257" s="231"/>
      <c r="N257" s="230"/>
      <c r="O257" s="230"/>
      <c r="P257" s="234"/>
      <c r="Q257" s="235"/>
      <c r="R257" s="231"/>
      <c r="S257" s="231"/>
      <c r="T257" s="230"/>
      <c r="U257" s="231"/>
      <c r="V257" s="12"/>
      <c r="W257" s="13"/>
    </row>
    <row r="258" spans="1:23" s="14" customFormat="1" x14ac:dyDescent="0.25">
      <c r="A258" s="229"/>
      <c r="B258" s="230"/>
      <c r="C258" s="230"/>
      <c r="D258" s="230"/>
      <c r="E258" s="230"/>
      <c r="F258" s="231"/>
      <c r="G258" s="232"/>
      <c r="H258" s="233"/>
      <c r="I258" s="230"/>
      <c r="J258" s="231"/>
      <c r="K258" s="231"/>
      <c r="L258" s="231"/>
      <c r="M258" s="231"/>
      <c r="N258" s="230"/>
      <c r="O258" s="230"/>
      <c r="P258" s="234"/>
      <c r="Q258" s="235"/>
      <c r="R258" s="231"/>
      <c r="S258" s="231"/>
      <c r="T258" s="230"/>
      <c r="U258" s="231"/>
      <c r="V258" s="12"/>
      <c r="W258" s="13"/>
    </row>
    <row r="259" spans="1:23" s="14" customFormat="1" x14ac:dyDescent="0.25">
      <c r="A259" s="229"/>
      <c r="B259" s="230"/>
      <c r="C259" s="230"/>
      <c r="D259" s="230"/>
      <c r="E259" s="230"/>
      <c r="F259" s="231"/>
      <c r="G259" s="232"/>
      <c r="H259" s="233"/>
      <c r="I259" s="230"/>
      <c r="J259" s="231"/>
      <c r="K259" s="231"/>
      <c r="L259" s="231"/>
      <c r="M259" s="231"/>
      <c r="N259" s="230"/>
      <c r="O259" s="230"/>
      <c r="P259" s="234"/>
      <c r="Q259" s="235"/>
      <c r="R259" s="231"/>
      <c r="S259" s="231"/>
      <c r="T259" s="230"/>
      <c r="U259" s="231"/>
      <c r="V259" s="12"/>
      <c r="W259" s="13"/>
    </row>
    <row r="260" spans="1:23" s="14" customFormat="1" x14ac:dyDescent="0.25">
      <c r="A260" s="229"/>
      <c r="B260" s="230"/>
      <c r="C260" s="230"/>
      <c r="D260" s="230"/>
      <c r="E260" s="230"/>
      <c r="F260" s="231"/>
      <c r="G260" s="232"/>
      <c r="H260" s="233"/>
      <c r="I260" s="230"/>
      <c r="J260" s="231"/>
      <c r="K260" s="231"/>
      <c r="L260" s="231"/>
      <c r="M260" s="231"/>
      <c r="N260" s="230"/>
      <c r="O260" s="230"/>
      <c r="P260" s="234"/>
      <c r="Q260" s="235"/>
      <c r="R260" s="231"/>
      <c r="S260" s="231"/>
      <c r="T260" s="230"/>
      <c r="U260" s="231"/>
      <c r="V260" s="12"/>
      <c r="W260" s="13"/>
    </row>
    <row r="261" spans="1:23" s="14" customFormat="1" x14ac:dyDescent="0.25">
      <c r="A261" s="229"/>
      <c r="B261" s="230"/>
      <c r="C261" s="230"/>
      <c r="D261" s="230"/>
      <c r="E261" s="230"/>
      <c r="F261" s="231"/>
      <c r="G261" s="232"/>
      <c r="H261" s="233"/>
      <c r="I261" s="230"/>
      <c r="J261" s="231"/>
      <c r="K261" s="231"/>
      <c r="L261" s="231"/>
      <c r="M261" s="231"/>
      <c r="N261" s="230"/>
      <c r="O261" s="230"/>
      <c r="P261" s="234"/>
      <c r="Q261" s="235"/>
      <c r="R261" s="231"/>
      <c r="S261" s="231"/>
      <c r="T261" s="230"/>
      <c r="U261" s="231"/>
      <c r="V261" s="12"/>
      <c r="W261" s="13"/>
    </row>
    <row r="262" spans="1:23" s="14" customFormat="1" x14ac:dyDescent="0.25">
      <c r="A262" s="229"/>
      <c r="B262" s="230"/>
      <c r="C262" s="230"/>
      <c r="D262" s="230"/>
      <c r="E262" s="230"/>
      <c r="F262" s="231"/>
      <c r="G262" s="232"/>
      <c r="H262" s="233"/>
      <c r="I262" s="230"/>
      <c r="J262" s="231"/>
      <c r="K262" s="231"/>
      <c r="L262" s="231"/>
      <c r="M262" s="231"/>
      <c r="N262" s="230"/>
      <c r="O262" s="230"/>
      <c r="P262" s="234"/>
      <c r="Q262" s="235"/>
      <c r="R262" s="231"/>
      <c r="S262" s="231"/>
      <c r="T262" s="230"/>
      <c r="U262" s="231"/>
      <c r="V262" s="12"/>
      <c r="W262" s="13"/>
    </row>
    <row r="263" spans="1:23" s="14" customFormat="1" x14ac:dyDescent="0.25">
      <c r="A263" s="229"/>
      <c r="B263" s="230"/>
      <c r="C263" s="230"/>
      <c r="D263" s="230"/>
      <c r="E263" s="230"/>
      <c r="F263" s="231"/>
      <c r="G263" s="232"/>
      <c r="H263" s="233"/>
      <c r="I263" s="230"/>
      <c r="J263" s="231"/>
      <c r="K263" s="231"/>
      <c r="L263" s="231"/>
      <c r="M263" s="231"/>
      <c r="N263" s="230"/>
      <c r="O263" s="230"/>
      <c r="P263" s="234"/>
      <c r="Q263" s="235"/>
      <c r="R263" s="231"/>
      <c r="S263" s="231"/>
      <c r="T263" s="230"/>
      <c r="U263" s="231"/>
      <c r="V263" s="12"/>
      <c r="W263" s="13"/>
    </row>
    <row r="264" spans="1:23" s="14" customFormat="1" x14ac:dyDescent="0.25">
      <c r="A264" s="229"/>
      <c r="B264" s="230"/>
      <c r="C264" s="230"/>
      <c r="D264" s="230"/>
      <c r="E264" s="230"/>
      <c r="F264" s="231"/>
      <c r="G264" s="232"/>
      <c r="H264" s="233"/>
      <c r="I264" s="230"/>
      <c r="J264" s="231"/>
      <c r="K264" s="231"/>
      <c r="L264" s="231"/>
      <c r="M264" s="231"/>
      <c r="N264" s="230"/>
      <c r="O264" s="230"/>
      <c r="P264" s="234"/>
      <c r="Q264" s="235"/>
      <c r="R264" s="231"/>
      <c r="S264" s="231"/>
      <c r="T264" s="230"/>
      <c r="U264" s="231"/>
      <c r="V264" s="12"/>
      <c r="W264" s="13"/>
    </row>
    <row r="265" spans="1:23" s="14" customFormat="1" x14ac:dyDescent="0.25">
      <c r="A265" s="229"/>
      <c r="B265" s="230"/>
      <c r="C265" s="230"/>
      <c r="D265" s="230"/>
      <c r="E265" s="230"/>
      <c r="F265" s="231"/>
      <c r="G265" s="232"/>
      <c r="H265" s="233"/>
      <c r="I265" s="230"/>
      <c r="J265" s="231"/>
      <c r="K265" s="231"/>
      <c r="L265" s="231"/>
      <c r="M265" s="231"/>
      <c r="N265" s="230"/>
      <c r="O265" s="230"/>
      <c r="P265" s="234"/>
      <c r="Q265" s="235"/>
      <c r="R265" s="231"/>
      <c r="S265" s="231"/>
      <c r="T265" s="230"/>
      <c r="U265" s="231"/>
      <c r="V265" s="12"/>
      <c r="W265" s="13"/>
    </row>
    <row r="266" spans="1:23" s="14" customFormat="1" x14ac:dyDescent="0.25">
      <c r="A266" s="229"/>
      <c r="B266" s="230"/>
      <c r="C266" s="230"/>
      <c r="D266" s="230"/>
      <c r="E266" s="230"/>
      <c r="F266" s="231"/>
      <c r="G266" s="232"/>
      <c r="H266" s="233"/>
      <c r="I266" s="230"/>
      <c r="J266" s="231"/>
      <c r="K266" s="231"/>
      <c r="L266" s="231"/>
      <c r="M266" s="231"/>
      <c r="N266" s="230"/>
      <c r="O266" s="230"/>
      <c r="P266" s="234"/>
      <c r="Q266" s="235"/>
      <c r="R266" s="231"/>
      <c r="S266" s="231"/>
      <c r="T266" s="230"/>
      <c r="U266" s="231"/>
      <c r="V266" s="12"/>
      <c r="W266" s="13"/>
    </row>
    <row r="267" spans="1:23" s="14" customFormat="1" x14ac:dyDescent="0.25">
      <c r="A267" s="229"/>
      <c r="B267" s="230"/>
      <c r="C267" s="230"/>
      <c r="D267" s="230"/>
      <c r="E267" s="230"/>
      <c r="F267" s="231"/>
      <c r="G267" s="232"/>
      <c r="H267" s="233"/>
      <c r="I267" s="230"/>
      <c r="J267" s="231"/>
      <c r="K267" s="231"/>
      <c r="L267" s="231"/>
      <c r="M267" s="231"/>
      <c r="N267" s="230"/>
      <c r="O267" s="230"/>
      <c r="P267" s="234"/>
      <c r="Q267" s="235"/>
      <c r="R267" s="231"/>
      <c r="S267" s="231"/>
      <c r="T267" s="230"/>
      <c r="U267" s="231"/>
      <c r="V267" s="12"/>
      <c r="W267" s="13"/>
    </row>
    <row r="268" spans="1:23" s="14" customFormat="1" x14ac:dyDescent="0.25">
      <c r="A268" s="229"/>
      <c r="B268" s="230"/>
      <c r="C268" s="230"/>
      <c r="D268" s="230"/>
      <c r="E268" s="230"/>
      <c r="F268" s="231"/>
      <c r="G268" s="232"/>
      <c r="H268" s="233"/>
      <c r="I268" s="230"/>
      <c r="J268" s="231"/>
      <c r="K268" s="231"/>
      <c r="L268" s="231"/>
      <c r="M268" s="231"/>
      <c r="N268" s="230"/>
      <c r="O268" s="230"/>
      <c r="P268" s="234"/>
      <c r="Q268" s="235"/>
      <c r="R268" s="231"/>
      <c r="S268" s="231"/>
      <c r="T268" s="230"/>
      <c r="U268" s="231"/>
      <c r="V268" s="12"/>
      <c r="W268" s="13"/>
    </row>
    <row r="269" spans="1:23" s="14" customFormat="1" x14ac:dyDescent="0.25">
      <c r="A269" s="229"/>
      <c r="B269" s="230"/>
      <c r="C269" s="230"/>
      <c r="D269" s="230"/>
      <c r="E269" s="230"/>
      <c r="F269" s="231"/>
      <c r="G269" s="232"/>
      <c r="H269" s="233"/>
      <c r="I269" s="230"/>
      <c r="J269" s="231"/>
      <c r="K269" s="231"/>
      <c r="L269" s="231"/>
      <c r="M269" s="231"/>
      <c r="N269" s="230"/>
      <c r="O269" s="230"/>
      <c r="P269" s="234"/>
      <c r="Q269" s="235"/>
      <c r="R269" s="231"/>
      <c r="S269" s="231"/>
      <c r="T269" s="230"/>
      <c r="U269" s="231"/>
      <c r="V269" s="12"/>
      <c r="W269" s="13"/>
    </row>
    <row r="270" spans="1:23" s="14" customFormat="1" x14ac:dyDescent="0.25">
      <c r="A270" s="229"/>
      <c r="B270" s="230"/>
      <c r="C270" s="230"/>
      <c r="D270" s="230"/>
      <c r="E270" s="230"/>
      <c r="F270" s="231"/>
      <c r="G270" s="232"/>
      <c r="H270" s="233"/>
      <c r="I270" s="230"/>
      <c r="J270" s="231"/>
      <c r="K270" s="231"/>
      <c r="L270" s="231"/>
      <c r="M270" s="231"/>
      <c r="N270" s="230"/>
      <c r="O270" s="230"/>
      <c r="P270" s="234"/>
      <c r="Q270" s="235"/>
      <c r="R270" s="231"/>
      <c r="S270" s="231"/>
      <c r="T270" s="230"/>
      <c r="U270" s="231"/>
      <c r="V270" s="12"/>
      <c r="W270" s="13"/>
    </row>
    <row r="271" spans="1:23" s="14" customFormat="1" x14ac:dyDescent="0.25">
      <c r="A271" s="229"/>
      <c r="B271" s="230"/>
      <c r="C271" s="230"/>
      <c r="D271" s="230"/>
      <c r="E271" s="230"/>
      <c r="F271" s="231"/>
      <c r="G271" s="232"/>
      <c r="H271" s="233"/>
      <c r="I271" s="230"/>
      <c r="J271" s="231"/>
      <c r="K271" s="231"/>
      <c r="L271" s="231"/>
      <c r="M271" s="231"/>
      <c r="N271" s="230"/>
      <c r="O271" s="230"/>
      <c r="P271" s="234"/>
      <c r="Q271" s="235"/>
      <c r="R271" s="231"/>
      <c r="S271" s="231"/>
      <c r="T271" s="230"/>
      <c r="U271" s="231"/>
      <c r="V271" s="12"/>
      <c r="W271" s="13"/>
    </row>
    <row r="272" spans="1:23" s="14" customFormat="1" x14ac:dyDescent="0.25">
      <c r="A272" s="229"/>
      <c r="B272" s="230"/>
      <c r="C272" s="230"/>
      <c r="D272" s="230"/>
      <c r="E272" s="230"/>
      <c r="F272" s="231"/>
      <c r="G272" s="232"/>
      <c r="H272" s="233"/>
      <c r="I272" s="230"/>
      <c r="J272" s="231"/>
      <c r="K272" s="231"/>
      <c r="L272" s="231"/>
      <c r="M272" s="231"/>
      <c r="N272" s="230"/>
      <c r="O272" s="230"/>
      <c r="P272" s="234"/>
      <c r="Q272" s="235"/>
      <c r="R272" s="231"/>
      <c r="S272" s="231"/>
      <c r="T272" s="230"/>
      <c r="U272" s="231"/>
      <c r="V272" s="12"/>
      <c r="W272" s="13"/>
    </row>
    <row r="273" spans="1:23" s="14" customFormat="1" x14ac:dyDescent="0.25">
      <c r="A273" s="229"/>
      <c r="B273" s="230"/>
      <c r="C273" s="230"/>
      <c r="D273" s="230"/>
      <c r="E273" s="230"/>
      <c r="F273" s="231"/>
      <c r="G273" s="232"/>
      <c r="H273" s="233"/>
      <c r="I273" s="230"/>
      <c r="J273" s="231"/>
      <c r="K273" s="231"/>
      <c r="L273" s="231"/>
      <c r="M273" s="231"/>
      <c r="N273" s="230"/>
      <c r="O273" s="230"/>
      <c r="P273" s="234"/>
      <c r="Q273" s="235"/>
      <c r="R273" s="231"/>
      <c r="S273" s="231"/>
      <c r="T273" s="230"/>
      <c r="U273" s="231"/>
      <c r="V273" s="12"/>
      <c r="W273" s="13"/>
    </row>
    <row r="274" spans="1:23" s="14" customFormat="1" x14ac:dyDescent="0.25">
      <c r="A274" s="229"/>
      <c r="B274" s="230"/>
      <c r="C274" s="230"/>
      <c r="D274" s="230"/>
      <c r="E274" s="230"/>
      <c r="F274" s="231"/>
      <c r="G274" s="232"/>
      <c r="H274" s="233"/>
      <c r="I274" s="230"/>
      <c r="J274" s="231"/>
      <c r="K274" s="231"/>
      <c r="L274" s="231"/>
      <c r="M274" s="231"/>
      <c r="N274" s="230"/>
      <c r="O274" s="230"/>
      <c r="P274" s="234"/>
      <c r="Q274" s="235"/>
      <c r="R274" s="231"/>
      <c r="S274" s="231"/>
      <c r="T274" s="230"/>
      <c r="U274" s="231"/>
      <c r="V274" s="12"/>
      <c r="W274" s="13"/>
    </row>
    <row r="275" spans="1:23" s="14" customFormat="1" x14ac:dyDescent="0.25">
      <c r="A275" s="229"/>
      <c r="B275" s="230"/>
      <c r="C275" s="230"/>
      <c r="D275" s="230"/>
      <c r="E275" s="230"/>
      <c r="F275" s="231"/>
      <c r="G275" s="232"/>
      <c r="H275" s="233"/>
      <c r="I275" s="230"/>
      <c r="J275" s="231"/>
      <c r="K275" s="231"/>
      <c r="L275" s="231"/>
      <c r="M275" s="231"/>
      <c r="N275" s="230"/>
      <c r="O275" s="230"/>
      <c r="P275" s="234"/>
      <c r="Q275" s="235"/>
      <c r="R275" s="231"/>
      <c r="S275" s="231"/>
      <c r="T275" s="230"/>
      <c r="U275" s="231"/>
      <c r="V275" s="12"/>
      <c r="W275" s="13"/>
    </row>
    <row r="276" spans="1:23" s="14" customFormat="1" x14ac:dyDescent="0.25">
      <c r="A276" s="229"/>
      <c r="B276" s="230"/>
      <c r="C276" s="230"/>
      <c r="D276" s="230"/>
      <c r="E276" s="230"/>
      <c r="F276" s="231"/>
      <c r="G276" s="232"/>
      <c r="H276" s="233"/>
      <c r="I276" s="230"/>
      <c r="J276" s="231"/>
      <c r="K276" s="231"/>
      <c r="L276" s="231"/>
      <c r="M276" s="231"/>
      <c r="N276" s="230"/>
      <c r="O276" s="230"/>
      <c r="P276" s="234"/>
      <c r="Q276" s="235"/>
      <c r="R276" s="231"/>
      <c r="S276" s="231"/>
      <c r="T276" s="230"/>
      <c r="U276" s="231"/>
      <c r="V276" s="12"/>
      <c r="W276" s="13"/>
    </row>
    <row r="277" spans="1:23" s="14" customFormat="1" x14ac:dyDescent="0.25">
      <c r="A277" s="229"/>
      <c r="B277" s="230"/>
      <c r="C277" s="230"/>
      <c r="D277" s="230"/>
      <c r="E277" s="230"/>
      <c r="F277" s="231"/>
      <c r="G277" s="232"/>
      <c r="H277" s="233"/>
      <c r="I277" s="230"/>
      <c r="J277" s="231"/>
      <c r="K277" s="231"/>
      <c r="L277" s="231"/>
      <c r="M277" s="231"/>
      <c r="N277" s="230"/>
      <c r="O277" s="230"/>
      <c r="P277" s="234"/>
      <c r="Q277" s="235"/>
      <c r="R277" s="231"/>
      <c r="S277" s="231"/>
      <c r="T277" s="230"/>
      <c r="U277" s="231"/>
      <c r="V277" s="12"/>
      <c r="W277" s="13"/>
    </row>
    <row r="278" spans="1:23" s="14" customFormat="1" x14ac:dyDescent="0.25">
      <c r="A278" s="229"/>
      <c r="B278" s="230"/>
      <c r="C278" s="230"/>
      <c r="D278" s="230"/>
      <c r="E278" s="230"/>
      <c r="F278" s="231"/>
      <c r="G278" s="232"/>
      <c r="H278" s="233"/>
      <c r="I278" s="230"/>
      <c r="J278" s="231"/>
      <c r="K278" s="231"/>
      <c r="L278" s="231"/>
      <c r="M278" s="231"/>
      <c r="N278" s="230"/>
      <c r="O278" s="230"/>
      <c r="P278" s="234"/>
      <c r="Q278" s="235"/>
      <c r="R278" s="231"/>
      <c r="S278" s="231"/>
      <c r="T278" s="230"/>
      <c r="U278" s="231"/>
      <c r="V278" s="12"/>
      <c r="W278" s="13"/>
    </row>
    <row r="279" spans="1:23" s="14" customFormat="1" x14ac:dyDescent="0.25">
      <c r="A279" s="229"/>
      <c r="B279" s="230"/>
      <c r="C279" s="230"/>
      <c r="D279" s="230"/>
      <c r="E279" s="230"/>
      <c r="F279" s="231"/>
      <c r="G279" s="232"/>
      <c r="H279" s="233"/>
      <c r="I279" s="230"/>
      <c r="J279" s="231"/>
      <c r="K279" s="231"/>
      <c r="L279" s="231"/>
      <c r="M279" s="231"/>
      <c r="N279" s="230"/>
      <c r="O279" s="230"/>
      <c r="P279" s="234"/>
      <c r="Q279" s="235"/>
      <c r="R279" s="231"/>
      <c r="S279" s="231"/>
      <c r="T279" s="230"/>
      <c r="U279" s="231"/>
      <c r="V279" s="12"/>
      <c r="W279" s="13"/>
    </row>
    <row r="280" spans="1:23" s="14" customFormat="1" x14ac:dyDescent="0.25">
      <c r="A280" s="229"/>
      <c r="B280" s="230"/>
      <c r="C280" s="230"/>
      <c r="D280" s="230"/>
      <c r="E280" s="230"/>
      <c r="F280" s="231"/>
      <c r="G280" s="232"/>
      <c r="H280" s="233"/>
      <c r="I280" s="230"/>
      <c r="J280" s="231"/>
      <c r="K280" s="231"/>
      <c r="L280" s="231"/>
      <c r="M280" s="231"/>
      <c r="N280" s="230"/>
      <c r="O280" s="230"/>
      <c r="P280" s="234"/>
      <c r="Q280" s="235"/>
      <c r="R280" s="231"/>
      <c r="S280" s="231"/>
      <c r="T280" s="230"/>
      <c r="U280" s="231"/>
      <c r="V280" s="12"/>
      <c r="W280" s="13"/>
    </row>
    <row r="281" spans="1:23" s="14" customFormat="1" x14ac:dyDescent="0.25">
      <c r="A281" s="229"/>
      <c r="B281" s="230"/>
      <c r="C281" s="230"/>
      <c r="D281" s="230"/>
      <c r="E281" s="230"/>
      <c r="F281" s="231"/>
      <c r="G281" s="232"/>
      <c r="H281" s="233"/>
      <c r="I281" s="230"/>
      <c r="J281" s="231"/>
      <c r="K281" s="231"/>
      <c r="L281" s="231"/>
      <c r="M281" s="231"/>
      <c r="N281" s="230"/>
      <c r="O281" s="230"/>
      <c r="P281" s="234"/>
      <c r="Q281" s="235"/>
      <c r="R281" s="231"/>
      <c r="S281" s="231"/>
      <c r="T281" s="230"/>
      <c r="U281" s="231"/>
      <c r="V281" s="12"/>
      <c r="W281" s="13"/>
    </row>
    <row r="282" spans="1:23" s="14" customFormat="1" x14ac:dyDescent="0.25">
      <c r="A282" s="229"/>
      <c r="B282" s="230"/>
      <c r="C282" s="230"/>
      <c r="D282" s="230"/>
      <c r="E282" s="230"/>
      <c r="F282" s="231"/>
      <c r="G282" s="232"/>
      <c r="H282" s="233"/>
      <c r="I282" s="230"/>
      <c r="J282" s="231"/>
      <c r="K282" s="231"/>
      <c r="L282" s="231"/>
      <c r="M282" s="231"/>
      <c r="N282" s="230"/>
      <c r="O282" s="230"/>
      <c r="P282" s="234"/>
      <c r="Q282" s="235"/>
      <c r="R282" s="231"/>
      <c r="S282" s="231"/>
      <c r="T282" s="230"/>
      <c r="U282" s="231"/>
      <c r="V282" s="12"/>
      <c r="W282" s="13"/>
    </row>
    <row r="283" spans="1:23" s="14" customFormat="1" x14ac:dyDescent="0.25">
      <c r="A283" s="229"/>
      <c r="B283" s="230"/>
      <c r="C283" s="230"/>
      <c r="D283" s="230"/>
      <c r="E283" s="230"/>
      <c r="F283" s="231"/>
      <c r="G283" s="232"/>
      <c r="H283" s="233"/>
      <c r="I283" s="230"/>
      <c r="J283" s="231"/>
      <c r="K283" s="231"/>
      <c r="L283" s="231"/>
      <c r="M283" s="231"/>
      <c r="N283" s="230"/>
      <c r="O283" s="230"/>
      <c r="P283" s="234"/>
      <c r="Q283" s="235"/>
      <c r="R283" s="231"/>
      <c r="S283" s="231"/>
      <c r="T283" s="230"/>
      <c r="U283" s="231"/>
      <c r="V283" s="12"/>
      <c r="W283" s="13"/>
    </row>
    <row r="284" spans="1:23" s="14" customFormat="1" x14ac:dyDescent="0.25">
      <c r="A284" s="229"/>
      <c r="B284" s="230"/>
      <c r="C284" s="230"/>
      <c r="D284" s="230"/>
      <c r="E284" s="230"/>
      <c r="F284" s="231"/>
      <c r="G284" s="232"/>
      <c r="H284" s="233"/>
      <c r="I284" s="230"/>
      <c r="J284" s="231"/>
      <c r="K284" s="231"/>
      <c r="L284" s="231"/>
      <c r="M284" s="231"/>
      <c r="N284" s="230"/>
      <c r="O284" s="230"/>
      <c r="P284" s="234"/>
      <c r="Q284" s="235"/>
      <c r="R284" s="231"/>
      <c r="S284" s="231"/>
      <c r="T284" s="230"/>
      <c r="U284" s="231"/>
      <c r="V284" s="12"/>
      <c r="W284" s="13"/>
    </row>
    <row r="285" spans="1:23" s="14" customFormat="1" x14ac:dyDescent="0.25">
      <c r="A285" s="229"/>
      <c r="B285" s="230"/>
      <c r="C285" s="230"/>
      <c r="D285" s="230"/>
      <c r="E285" s="230"/>
      <c r="F285" s="231"/>
      <c r="G285" s="232"/>
      <c r="H285" s="233"/>
      <c r="I285" s="230"/>
      <c r="J285" s="231"/>
      <c r="K285" s="231"/>
      <c r="L285" s="231"/>
      <c r="M285" s="231"/>
      <c r="N285" s="230"/>
      <c r="O285" s="230"/>
      <c r="P285" s="234"/>
      <c r="Q285" s="235"/>
      <c r="R285" s="231"/>
      <c r="S285" s="231"/>
      <c r="T285" s="230"/>
      <c r="U285" s="231"/>
      <c r="V285" s="12"/>
      <c r="W285" s="13"/>
    </row>
    <row r="286" spans="1:23" s="14" customFormat="1" x14ac:dyDescent="0.25">
      <c r="A286" s="229"/>
      <c r="B286" s="230"/>
      <c r="C286" s="230"/>
      <c r="D286" s="230"/>
      <c r="E286" s="230"/>
      <c r="F286" s="231"/>
      <c r="G286" s="232"/>
      <c r="H286" s="233"/>
      <c r="I286" s="230"/>
      <c r="J286" s="231"/>
      <c r="K286" s="231"/>
      <c r="L286" s="231"/>
      <c r="M286" s="231"/>
      <c r="N286" s="230"/>
      <c r="O286" s="230"/>
      <c r="P286" s="234"/>
      <c r="Q286" s="235"/>
      <c r="R286" s="231"/>
      <c r="S286" s="231"/>
      <c r="T286" s="230"/>
      <c r="U286" s="231"/>
      <c r="V286" s="12"/>
      <c r="W286" s="13"/>
    </row>
    <row r="287" spans="1:23" s="14" customFormat="1" x14ac:dyDescent="0.25">
      <c r="A287" s="229"/>
      <c r="B287" s="230"/>
      <c r="C287" s="230"/>
      <c r="D287" s="230"/>
      <c r="E287" s="230"/>
      <c r="F287" s="231"/>
      <c r="G287" s="232"/>
      <c r="H287" s="233"/>
      <c r="I287" s="230"/>
      <c r="J287" s="231"/>
      <c r="K287" s="231"/>
      <c r="L287" s="231"/>
      <c r="M287" s="231"/>
      <c r="N287" s="230"/>
      <c r="O287" s="230"/>
      <c r="P287" s="234"/>
      <c r="Q287" s="235"/>
      <c r="R287" s="231"/>
      <c r="S287" s="231"/>
      <c r="T287" s="230"/>
      <c r="U287" s="231"/>
      <c r="V287" s="12"/>
      <c r="W287" s="13"/>
    </row>
    <row r="288" spans="1:23" s="14" customFormat="1" x14ac:dyDescent="0.25">
      <c r="A288" s="229"/>
      <c r="B288" s="230"/>
      <c r="C288" s="230"/>
      <c r="D288" s="230"/>
      <c r="E288" s="230"/>
      <c r="F288" s="231"/>
      <c r="G288" s="232"/>
      <c r="H288" s="233"/>
      <c r="I288" s="230"/>
      <c r="J288" s="231"/>
      <c r="K288" s="231"/>
      <c r="L288" s="231"/>
      <c r="M288" s="231"/>
      <c r="N288" s="230"/>
      <c r="O288" s="230"/>
      <c r="P288" s="234"/>
      <c r="Q288" s="235"/>
      <c r="R288" s="231"/>
      <c r="S288" s="231"/>
      <c r="T288" s="230"/>
      <c r="U288" s="231"/>
      <c r="V288" s="12"/>
      <c r="W288" s="13"/>
    </row>
    <row r="289" spans="1:23" s="14" customFormat="1" x14ac:dyDescent="0.25">
      <c r="A289" s="229"/>
      <c r="B289" s="230"/>
      <c r="C289" s="230"/>
      <c r="D289" s="230"/>
      <c r="E289" s="230"/>
      <c r="F289" s="231"/>
      <c r="G289" s="232"/>
      <c r="H289" s="233"/>
      <c r="I289" s="230"/>
      <c r="J289" s="231"/>
      <c r="K289" s="231"/>
      <c r="L289" s="231"/>
      <c r="M289" s="231"/>
      <c r="N289" s="230"/>
      <c r="O289" s="230"/>
      <c r="P289" s="234"/>
      <c r="Q289" s="235"/>
      <c r="R289" s="231"/>
      <c r="S289" s="231"/>
      <c r="T289" s="230"/>
      <c r="U289" s="231"/>
      <c r="V289" s="12"/>
      <c r="W289" s="13"/>
    </row>
    <row r="290" spans="1:23" s="14" customFormat="1" x14ac:dyDescent="0.25">
      <c r="A290" s="229"/>
      <c r="B290" s="230"/>
      <c r="C290" s="230"/>
      <c r="D290" s="230"/>
      <c r="E290" s="230"/>
      <c r="F290" s="231"/>
      <c r="G290" s="232"/>
      <c r="H290" s="233"/>
      <c r="I290" s="230"/>
      <c r="J290" s="231"/>
      <c r="K290" s="231"/>
      <c r="L290" s="231"/>
      <c r="M290" s="231"/>
      <c r="N290" s="230"/>
      <c r="O290" s="230"/>
      <c r="P290" s="234"/>
      <c r="Q290" s="235"/>
      <c r="R290" s="231"/>
      <c r="S290" s="231"/>
      <c r="T290" s="230"/>
      <c r="U290" s="231"/>
      <c r="V290" s="12"/>
      <c r="W290" s="13"/>
    </row>
    <row r="291" spans="1:23" s="14" customFormat="1" x14ac:dyDescent="0.25">
      <c r="A291" s="229"/>
      <c r="B291" s="230"/>
      <c r="C291" s="230"/>
      <c r="D291" s="230"/>
      <c r="E291" s="230"/>
      <c r="F291" s="231"/>
      <c r="G291" s="232"/>
      <c r="H291" s="233"/>
      <c r="I291" s="230"/>
      <c r="J291" s="231"/>
      <c r="K291" s="231"/>
      <c r="L291" s="231"/>
      <c r="M291" s="231"/>
      <c r="N291" s="230"/>
      <c r="O291" s="230"/>
      <c r="P291" s="234"/>
      <c r="Q291" s="235"/>
      <c r="R291" s="231"/>
      <c r="S291" s="231"/>
      <c r="T291" s="230"/>
      <c r="U291" s="231"/>
      <c r="V291" s="12"/>
      <c r="W291" s="13"/>
    </row>
    <row r="292" spans="1:23" s="14" customFormat="1" x14ac:dyDescent="0.25">
      <c r="A292" s="229"/>
      <c r="B292" s="230"/>
      <c r="C292" s="230"/>
      <c r="D292" s="230"/>
      <c r="E292" s="230"/>
      <c r="F292" s="231"/>
      <c r="G292" s="232"/>
      <c r="H292" s="233"/>
      <c r="I292" s="230"/>
      <c r="J292" s="231"/>
      <c r="K292" s="231"/>
      <c r="L292" s="231"/>
      <c r="M292" s="231"/>
      <c r="N292" s="230"/>
      <c r="O292" s="230"/>
      <c r="P292" s="234"/>
      <c r="Q292" s="235"/>
      <c r="R292" s="231"/>
      <c r="S292" s="231"/>
      <c r="T292" s="230"/>
      <c r="U292" s="231"/>
      <c r="V292" s="12"/>
      <c r="W292" s="13"/>
    </row>
    <row r="293" spans="1:23" s="14" customFormat="1" x14ac:dyDescent="0.25">
      <c r="A293" s="229"/>
      <c r="B293" s="230"/>
      <c r="C293" s="230"/>
      <c r="D293" s="230"/>
      <c r="E293" s="230"/>
      <c r="F293" s="231"/>
      <c r="G293" s="232"/>
      <c r="H293" s="233"/>
      <c r="I293" s="230"/>
      <c r="J293" s="231"/>
      <c r="K293" s="231"/>
      <c r="L293" s="231"/>
      <c r="M293" s="231"/>
      <c r="N293" s="230"/>
      <c r="O293" s="230"/>
      <c r="P293" s="234"/>
      <c r="Q293" s="235"/>
      <c r="R293" s="231"/>
      <c r="S293" s="231"/>
      <c r="T293" s="230"/>
      <c r="U293" s="231"/>
      <c r="V293" s="12"/>
      <c r="W293" s="13"/>
    </row>
    <row r="294" spans="1:23" s="14" customFormat="1" x14ac:dyDescent="0.25">
      <c r="A294" s="229"/>
      <c r="B294" s="230"/>
      <c r="C294" s="230"/>
      <c r="D294" s="230"/>
      <c r="E294" s="230"/>
      <c r="F294" s="231"/>
      <c r="G294" s="232"/>
      <c r="H294" s="233"/>
      <c r="I294" s="230"/>
      <c r="J294" s="231"/>
      <c r="K294" s="231"/>
      <c r="L294" s="231"/>
      <c r="M294" s="231"/>
      <c r="N294" s="230"/>
      <c r="O294" s="230"/>
      <c r="P294" s="234"/>
      <c r="Q294" s="235"/>
      <c r="R294" s="231"/>
      <c r="S294" s="231"/>
      <c r="T294" s="230"/>
      <c r="U294" s="231"/>
      <c r="V294" s="12"/>
      <c r="W294" s="13"/>
    </row>
    <row r="295" spans="1:23" s="14" customFormat="1" x14ac:dyDescent="0.25">
      <c r="A295" s="229"/>
      <c r="B295" s="230"/>
      <c r="C295" s="230"/>
      <c r="D295" s="230"/>
      <c r="E295" s="230"/>
      <c r="F295" s="231"/>
      <c r="G295" s="232"/>
      <c r="H295" s="233"/>
      <c r="I295" s="230"/>
      <c r="J295" s="231"/>
      <c r="K295" s="231"/>
      <c r="L295" s="231"/>
      <c r="M295" s="231"/>
      <c r="N295" s="230"/>
      <c r="O295" s="230"/>
      <c r="P295" s="234"/>
      <c r="Q295" s="235"/>
      <c r="R295" s="231"/>
      <c r="S295" s="231"/>
      <c r="T295" s="230"/>
      <c r="U295" s="231"/>
      <c r="V295" s="12"/>
      <c r="W295" s="13"/>
    </row>
    <row r="296" spans="1:23" s="14" customFormat="1" x14ac:dyDescent="0.25">
      <c r="A296" s="229"/>
      <c r="B296" s="230"/>
      <c r="C296" s="230"/>
      <c r="D296" s="230"/>
      <c r="E296" s="230"/>
      <c r="F296" s="231"/>
      <c r="G296" s="232"/>
      <c r="H296" s="233"/>
      <c r="I296" s="230"/>
      <c r="J296" s="231"/>
      <c r="K296" s="231"/>
      <c r="L296" s="231"/>
      <c r="M296" s="231"/>
      <c r="N296" s="230"/>
      <c r="O296" s="230"/>
      <c r="P296" s="234"/>
      <c r="Q296" s="235"/>
      <c r="R296" s="231"/>
      <c r="S296" s="231"/>
      <c r="T296" s="230"/>
      <c r="U296" s="231"/>
      <c r="V296" s="12"/>
      <c r="W296" s="13"/>
    </row>
    <row r="297" spans="1:23" s="14" customFormat="1" x14ac:dyDescent="0.25">
      <c r="A297" s="229"/>
      <c r="B297" s="230"/>
      <c r="C297" s="230"/>
      <c r="D297" s="230"/>
      <c r="E297" s="230"/>
      <c r="F297" s="231"/>
      <c r="G297" s="232"/>
      <c r="H297" s="233"/>
      <c r="I297" s="230"/>
      <c r="J297" s="231"/>
      <c r="K297" s="231"/>
      <c r="L297" s="231"/>
      <c r="M297" s="231"/>
      <c r="N297" s="230"/>
      <c r="O297" s="230"/>
      <c r="P297" s="234"/>
      <c r="Q297" s="235"/>
      <c r="R297" s="231"/>
      <c r="S297" s="231"/>
      <c r="T297" s="230"/>
      <c r="U297" s="231"/>
      <c r="V297" s="12"/>
      <c r="W297" s="13"/>
    </row>
    <row r="298" spans="1:23" s="14" customFormat="1" x14ac:dyDescent="0.25">
      <c r="A298" s="229"/>
      <c r="B298" s="230"/>
      <c r="C298" s="230"/>
      <c r="D298" s="230"/>
      <c r="E298" s="230"/>
      <c r="F298" s="231"/>
      <c r="G298" s="232"/>
      <c r="H298" s="233"/>
      <c r="I298" s="230"/>
      <c r="J298" s="231"/>
      <c r="K298" s="231"/>
      <c r="L298" s="231"/>
      <c r="M298" s="231"/>
      <c r="N298" s="230"/>
      <c r="O298" s="230"/>
      <c r="P298" s="234"/>
      <c r="Q298" s="235"/>
      <c r="R298" s="231"/>
      <c r="S298" s="231"/>
      <c r="T298" s="230"/>
      <c r="U298" s="231"/>
      <c r="V298" s="12"/>
      <c r="W298" s="13"/>
    </row>
    <row r="299" spans="1:23" s="14" customFormat="1" x14ac:dyDescent="0.25">
      <c r="A299" s="229"/>
      <c r="B299" s="230"/>
      <c r="C299" s="230"/>
      <c r="D299" s="230"/>
      <c r="E299" s="230"/>
      <c r="F299" s="231"/>
      <c r="G299" s="232"/>
      <c r="H299" s="233"/>
      <c r="I299" s="230"/>
      <c r="J299" s="231"/>
      <c r="K299" s="231"/>
      <c r="L299" s="231"/>
      <c r="M299" s="231"/>
      <c r="N299" s="230"/>
      <c r="O299" s="230"/>
      <c r="P299" s="234"/>
      <c r="Q299" s="235"/>
      <c r="R299" s="231"/>
      <c r="S299" s="231"/>
      <c r="T299" s="230"/>
      <c r="U299" s="231"/>
      <c r="V299" s="12"/>
      <c r="W299" s="13"/>
    </row>
    <row r="300" spans="1:23" s="14" customFormat="1" x14ac:dyDescent="0.25">
      <c r="A300" s="229"/>
      <c r="B300" s="230"/>
      <c r="C300" s="230"/>
      <c r="D300" s="230"/>
      <c r="E300" s="230"/>
      <c r="F300" s="231"/>
      <c r="G300" s="232"/>
      <c r="H300" s="233"/>
      <c r="I300" s="230"/>
      <c r="J300" s="231"/>
      <c r="K300" s="231"/>
      <c r="L300" s="231"/>
      <c r="M300" s="231"/>
      <c r="N300" s="230"/>
      <c r="O300" s="230"/>
      <c r="P300" s="234"/>
      <c r="Q300" s="235"/>
      <c r="R300" s="231"/>
      <c r="S300" s="231"/>
      <c r="T300" s="230"/>
      <c r="U300" s="231"/>
      <c r="V300" s="12"/>
      <c r="W300" s="13"/>
    </row>
    <row r="301" spans="1:23" s="14" customFormat="1" x14ac:dyDescent="0.25">
      <c r="A301" s="229"/>
      <c r="B301" s="230"/>
      <c r="C301" s="230"/>
      <c r="D301" s="230"/>
      <c r="E301" s="230"/>
      <c r="F301" s="231"/>
      <c r="G301" s="232"/>
      <c r="H301" s="233"/>
      <c r="I301" s="230"/>
      <c r="J301" s="231"/>
      <c r="K301" s="231"/>
      <c r="L301" s="231"/>
      <c r="M301" s="231"/>
      <c r="N301" s="230"/>
      <c r="O301" s="230"/>
      <c r="P301" s="234"/>
      <c r="Q301" s="235"/>
      <c r="R301" s="231"/>
      <c r="S301" s="231"/>
      <c r="T301" s="230"/>
      <c r="U301" s="231"/>
      <c r="V301" s="12"/>
      <c r="W301" s="13"/>
    </row>
    <row r="302" spans="1:23" s="14" customFormat="1" x14ac:dyDescent="0.25">
      <c r="A302" s="229"/>
      <c r="B302" s="230"/>
      <c r="C302" s="230"/>
      <c r="D302" s="230"/>
      <c r="E302" s="230"/>
      <c r="F302" s="231"/>
      <c r="G302" s="232"/>
      <c r="H302" s="233"/>
      <c r="I302" s="230"/>
      <c r="J302" s="231"/>
      <c r="K302" s="231"/>
      <c r="L302" s="231"/>
      <c r="M302" s="231"/>
      <c r="N302" s="230"/>
      <c r="O302" s="230"/>
      <c r="P302" s="234"/>
      <c r="Q302" s="235"/>
      <c r="R302" s="231"/>
      <c r="S302" s="231"/>
      <c r="T302" s="230"/>
      <c r="U302" s="231"/>
      <c r="V302" s="12"/>
      <c r="W302" s="13"/>
    </row>
    <row r="303" spans="1:23" s="14" customFormat="1" x14ac:dyDescent="0.25">
      <c r="A303" s="229"/>
      <c r="B303" s="230"/>
      <c r="C303" s="230"/>
      <c r="D303" s="230"/>
      <c r="E303" s="230"/>
      <c r="F303" s="231"/>
      <c r="G303" s="232"/>
      <c r="H303" s="233"/>
      <c r="I303" s="230"/>
      <c r="J303" s="231"/>
      <c r="K303" s="231"/>
      <c r="L303" s="231"/>
      <c r="M303" s="231"/>
      <c r="N303" s="230"/>
      <c r="O303" s="230"/>
      <c r="P303" s="234"/>
      <c r="Q303" s="235"/>
      <c r="R303" s="231"/>
      <c r="S303" s="231"/>
      <c r="T303" s="230"/>
      <c r="U303" s="231"/>
      <c r="V303" s="12"/>
      <c r="W303" s="13"/>
    </row>
    <row r="304" spans="1:23" s="14" customFormat="1" x14ac:dyDescent="0.25">
      <c r="A304" s="229"/>
      <c r="B304" s="230"/>
      <c r="C304" s="230"/>
      <c r="D304" s="230"/>
      <c r="E304" s="230"/>
      <c r="F304" s="231"/>
      <c r="G304" s="232"/>
      <c r="H304" s="233"/>
      <c r="I304" s="230"/>
      <c r="J304" s="231"/>
      <c r="K304" s="231"/>
      <c r="L304" s="231"/>
      <c r="M304" s="231"/>
      <c r="N304" s="230"/>
      <c r="O304" s="230"/>
      <c r="P304" s="234"/>
      <c r="Q304" s="235"/>
      <c r="R304" s="231"/>
      <c r="S304" s="231"/>
      <c r="T304" s="230"/>
      <c r="U304" s="231"/>
      <c r="V304" s="12"/>
      <c r="W304" s="13"/>
    </row>
    <row r="305" spans="1:23" s="14" customFormat="1" x14ac:dyDescent="0.25">
      <c r="A305" s="229"/>
      <c r="B305" s="230"/>
      <c r="C305" s="230"/>
      <c r="D305" s="230"/>
      <c r="E305" s="230"/>
      <c r="F305" s="231"/>
      <c r="G305" s="232"/>
      <c r="H305" s="233"/>
      <c r="I305" s="230"/>
      <c r="J305" s="231"/>
      <c r="K305" s="231"/>
      <c r="L305" s="231"/>
      <c r="M305" s="231"/>
      <c r="N305" s="230"/>
      <c r="O305" s="230"/>
      <c r="P305" s="234"/>
      <c r="Q305" s="235"/>
      <c r="R305" s="231"/>
      <c r="S305" s="231"/>
      <c r="T305" s="230"/>
      <c r="U305" s="231"/>
      <c r="V305" s="12"/>
      <c r="W305" s="13"/>
    </row>
    <row r="306" spans="1:23" s="14" customFormat="1" x14ac:dyDescent="0.25">
      <c r="A306" s="229"/>
      <c r="B306" s="230"/>
      <c r="C306" s="230"/>
      <c r="D306" s="230"/>
      <c r="E306" s="230"/>
      <c r="F306" s="231"/>
      <c r="G306" s="232"/>
      <c r="H306" s="233"/>
      <c r="I306" s="230"/>
      <c r="J306" s="231"/>
      <c r="K306" s="231"/>
      <c r="L306" s="231"/>
      <c r="M306" s="231"/>
      <c r="N306" s="230"/>
      <c r="O306" s="230"/>
      <c r="P306" s="234"/>
      <c r="Q306" s="235"/>
      <c r="R306" s="231"/>
      <c r="S306" s="231"/>
      <c r="T306" s="230"/>
      <c r="U306" s="231"/>
      <c r="V306" s="12"/>
      <c r="W306" s="13"/>
    </row>
  </sheetData>
  <autoFilter ref="A16:U222">
    <filterColumn colId="7" showButton="0"/>
    <filterColumn colId="10" showButton="0"/>
    <filterColumn colId="13" showButton="0"/>
    <filterColumn colId="18" showButton="0"/>
  </autoFilter>
  <mergeCells count="78">
    <mergeCell ref="A221:U221"/>
    <mergeCell ref="A222:U222"/>
    <mergeCell ref="A200:U200"/>
    <mergeCell ref="A201:U201"/>
    <mergeCell ref="A209:U209"/>
    <mergeCell ref="A210:U210"/>
    <mergeCell ref="A214:U214"/>
    <mergeCell ref="A215:U215"/>
    <mergeCell ref="A167:U167"/>
    <mergeCell ref="A168:U168"/>
    <mergeCell ref="A177:U177"/>
    <mergeCell ref="A178:U178"/>
    <mergeCell ref="A190:U190"/>
    <mergeCell ref="A191:U191"/>
    <mergeCell ref="A144:U144"/>
    <mergeCell ref="A145:U145"/>
    <mergeCell ref="A148:U148"/>
    <mergeCell ref="A149:U149"/>
    <mergeCell ref="A155:U155"/>
    <mergeCell ref="A156:U156"/>
    <mergeCell ref="A123:U123"/>
    <mergeCell ref="A124:U124"/>
    <mergeCell ref="A135:U135"/>
    <mergeCell ref="A136:U136"/>
    <mergeCell ref="A140:U140"/>
    <mergeCell ref="A141:U141"/>
    <mergeCell ref="A100:U100"/>
    <mergeCell ref="A101:U101"/>
    <mergeCell ref="A108:U108"/>
    <mergeCell ref="A109:U109"/>
    <mergeCell ref="A118:U118"/>
    <mergeCell ref="A119:U119"/>
    <mergeCell ref="A85:U85"/>
    <mergeCell ref="A86:U86"/>
    <mergeCell ref="A92:U92"/>
    <mergeCell ref="A93:U93"/>
    <mergeCell ref="A96:U96"/>
    <mergeCell ref="A97:U97"/>
    <mergeCell ref="A61:U61"/>
    <mergeCell ref="A62:U62"/>
    <mergeCell ref="A72:U72"/>
    <mergeCell ref="A73:U73"/>
    <mergeCell ref="A76:U76"/>
    <mergeCell ref="A77:U77"/>
    <mergeCell ref="A38:U38"/>
    <mergeCell ref="A39:U39"/>
    <mergeCell ref="A53:U53"/>
    <mergeCell ref="A54:U54"/>
    <mergeCell ref="A57:U57"/>
    <mergeCell ref="A58:U58"/>
    <mergeCell ref="H16:I16"/>
    <mergeCell ref="K16:L16"/>
    <mergeCell ref="N16:O16"/>
    <mergeCell ref="S16:T16"/>
    <mergeCell ref="H18:I18"/>
    <mergeCell ref="K18:M18"/>
    <mergeCell ref="N18:O18"/>
    <mergeCell ref="S18:T18"/>
    <mergeCell ref="B15:E15"/>
    <mergeCell ref="H15:J15"/>
    <mergeCell ref="K15:M15"/>
    <mergeCell ref="N15:R15"/>
    <mergeCell ref="S15:U15"/>
    <mergeCell ref="N10:R14"/>
    <mergeCell ref="S10:U12"/>
    <mergeCell ref="V10:V14"/>
    <mergeCell ref="W10:W14"/>
    <mergeCell ref="S13:U14"/>
    <mergeCell ref="A2:U2"/>
    <mergeCell ref="A3:U3"/>
    <mergeCell ref="A4:U4"/>
    <mergeCell ref="A8:G8"/>
    <mergeCell ref="A10:A14"/>
    <mergeCell ref="B10:E14"/>
    <mergeCell ref="F10:F14"/>
    <mergeCell ref="G10:G14"/>
    <mergeCell ref="H10:J14"/>
    <mergeCell ref="K10:M14"/>
  </mergeCells>
  <pageMargins left="1.299212598425197" right="0.70866141732283472" top="0.74803149606299213" bottom="0.74803149606299213" header="0.31496062992125984" footer="0.31496062992125984"/>
  <pageSetup paperSize="5" scale="62" orientation="landscape" horizontalDpi="4294967293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EV.RKPD YG DIISI</vt:lpstr>
      <vt:lpstr>'FORM EV.RKPD YG DIISI'!Print_Area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CC13</dc:creator>
  <cp:lastModifiedBy>CC13</cp:lastModifiedBy>
  <dcterms:created xsi:type="dcterms:W3CDTF">2016-09-21T03:43:36Z</dcterms:created>
  <dcterms:modified xsi:type="dcterms:W3CDTF">2016-09-21T03:47:13Z</dcterms:modified>
</cp:coreProperties>
</file>